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2120" windowHeight="7590" activeTab="0"/>
  </bookViews>
  <sheets>
    <sheet name="Анализ исполн. за 4 квартал" sheetId="1" r:id="rId1"/>
    <sheet name="РОСПИСЬ на 31122016" sheetId="2" r:id="rId2"/>
    <sheet name="Анализ исполн. за 3 квартал" sheetId="3" r:id="rId3"/>
    <sheet name="РОСПИСЬ на 30092016" sheetId="4" r:id="rId4"/>
    <sheet name="Анализ исполн. за 2 квартал " sheetId="5" r:id="rId5"/>
    <sheet name="РОСПИСЬ на 30062016" sheetId="6" r:id="rId6"/>
    <sheet name="Анализ исполн. за 1 квартал" sheetId="7" r:id="rId7"/>
    <sheet name="РОСПИСЬ на 31032016" sheetId="8" r:id="rId8"/>
    <sheet name="РОСПИСЬ на 01012016" sheetId="9" r:id="rId9"/>
  </sheets>
  <definedNames>
    <definedName name="_xlnm.Print_Titles" localSheetId="6">'Анализ исполн. за 1 квартал'!$3:$5</definedName>
    <definedName name="_xlnm.Print_Titles" localSheetId="4">'Анализ исполн. за 2 квартал '!$3:$5</definedName>
    <definedName name="_xlnm.Print_Titles" localSheetId="2">'Анализ исполн. за 3 квартал'!$3:$5</definedName>
    <definedName name="_xlnm.Print_Titles" localSheetId="0">'Анализ исполн. за 4 квартал'!$3:$5</definedName>
    <definedName name="_xlnm.Print_Titles" localSheetId="8">'РОСПИСЬ на 01012016'!$4:$4</definedName>
    <definedName name="_xlnm.Print_Titles" localSheetId="5">'РОСПИСЬ на 30062016'!$4:$4</definedName>
    <definedName name="_xlnm.Print_Titles" localSheetId="3">'РОСПИСЬ на 30092016'!$4:$4</definedName>
    <definedName name="_xlnm.Print_Titles" localSheetId="7">'РОСПИСЬ на 31032016'!$4:$4</definedName>
    <definedName name="_xlnm.Print_Titles" localSheetId="1">'РОСПИСЬ на 31122016'!$4:$4</definedName>
    <definedName name="_xlnm.Print_Area" localSheetId="6">'Анализ исполн. за 1 квартал'!$A$2:$J$109</definedName>
    <definedName name="_xlnm.Print_Area" localSheetId="4">'Анализ исполн. за 2 квартал '!$A$2:$J$117</definedName>
    <definedName name="_xlnm.Print_Area" localSheetId="2">'Анализ исполн. за 3 квартал'!$A$2:$J$127</definedName>
    <definedName name="_xlnm.Print_Area" localSheetId="0">'Анализ исполн. за 4 квартал'!$A$2:$J$133</definedName>
    <definedName name="_xlnm.Print_Area" localSheetId="8">'РОСПИСЬ на 01012016'!$A$3:$D$121</definedName>
    <definedName name="_xlnm.Print_Area" localSheetId="5">'РОСПИСЬ на 30062016'!$A$3:$D$118</definedName>
    <definedName name="_xlnm.Print_Area" localSheetId="3">'РОСПИСЬ на 30092016'!$A$3:$D$128</definedName>
    <definedName name="_xlnm.Print_Area" localSheetId="7">'РОСПИСЬ на 31032016'!$A$3:$D$115</definedName>
    <definedName name="_xlnm.Print_Area" localSheetId="1">'РОСПИСЬ на 31122016'!$A$3:$D$134</definedName>
  </definedNames>
  <calcPr fullCalcOnLoad="1" fullPrecision="0"/>
</workbook>
</file>

<file path=xl/sharedStrings.xml><?xml version="1.0" encoding="utf-8"?>
<sst xmlns="http://schemas.openxmlformats.org/spreadsheetml/2006/main" count="2341" uniqueCount="244">
  <si>
    <t>Классификация</t>
  </si>
  <si>
    <t>Наименование статей расходов</t>
  </si>
  <si>
    <t>262101</t>
  </si>
  <si>
    <t>Выполнение функций государственными органами (Статистика)</t>
  </si>
  <si>
    <t>Общегосударственные вопросы</t>
  </si>
  <si>
    <t>961 01</t>
  </si>
  <si>
    <t>961 07</t>
  </si>
  <si>
    <t>Образование</t>
  </si>
  <si>
    <t>961 1003</t>
  </si>
  <si>
    <t>Социальное обеспечение населения</t>
  </si>
  <si>
    <t>Социальная помощь</t>
  </si>
  <si>
    <t>Охрана семьи и детства</t>
  </si>
  <si>
    <t>961 1006</t>
  </si>
  <si>
    <t>Другие вопросы в области социальной политики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</si>
  <si>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
Выполнение функций государственными органами</t>
  </si>
  <si>
    <t>Ежемесячное пособие на ребенка 
(социальные выплаты)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</si>
  <si>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 (социальные выплаты)</t>
  </si>
  <si>
    <t>Вид расхода</t>
  </si>
  <si>
    <t>Обеспечение мер социальной поддержки ветеранов труда, всего</t>
  </si>
  <si>
    <t>Всего по Министерству труда и социального развития КБР</t>
  </si>
  <si>
    <t>Выполнение функций по переподготовке и повышению квалификации</t>
  </si>
  <si>
    <t xml:space="preserve">Доплаты к пенсии госслужащих субъектов РФ и муниципальных служащих </t>
  </si>
  <si>
    <t>Обеспечение мер социальной поддержки для лиц, награжденных знаком "Почетный донор СССР", "Почетный донор России" 
(социальные выплаты)</t>
  </si>
  <si>
    <t>Обеспечение мер социальной поддержки ветеранов труда и тружеников тыла (социальные выплаты)</t>
  </si>
  <si>
    <t>Обеспечение мер социальной поддержки  тружеников тыла (социальные выплаты)</t>
  </si>
  <si>
    <t>Государственные единовременные пособия и ежемесячные денежные компенсации гражданам при возникновении при возникновении поствакцинальных осложнений
(социальные выплаты)</t>
  </si>
  <si>
    <t>Выплаты инвалидам компенсаций страховых премий по договорам обязательного  страхования гражданской ответственности владельцев транспортных средств 
(социальные выплаты)</t>
  </si>
  <si>
    <t>Предоставление гражданам субсидий на оплату жилого помещения и коммунальных услуг
(Социальные выплаты)</t>
  </si>
  <si>
    <t>Перевозка несовершеннолетних, самовольно ушедших из семей детских домов, школ-интернатов, специальных учебно-воспитательных и иных детских учреждений
(Прочие расходы)</t>
  </si>
  <si>
    <t>262000</t>
  </si>
  <si>
    <t>Мероприятия по организации оздоровительной кампании детей</t>
  </si>
  <si>
    <t>221100</t>
  </si>
  <si>
    <t>Единовременная адресная социальная помощь в размере 250 тыс. рублей на строительство или приобретение жилья многодетным семьям при рождении пятого или последующего ребенка</t>
  </si>
  <si>
    <t>Единовременное пособие беременной жене военнослужащего, проходящего военну службу по призыву, а также ежемесячное пособие на ребенка военнослужащего, проходящеговоенную службу по призыву</t>
  </si>
  <si>
    <t>Ежемесячные денежные выплаты ветеранам труда  -   ЕДВ</t>
  </si>
  <si>
    <t>Обеспечение мер социальной поддержки  реабилитированных лиц  и лиц, признанных пострадавшими от политических репрессий
(Социальные выплаты), в том числе</t>
  </si>
  <si>
    <t xml:space="preserve">Ежемесячные денежные выплаты реабилитированным  -  ЕДВ
</t>
  </si>
  <si>
    <t xml:space="preserve">Оказание других видов социальной помощи (Меры социальной поддержки многодетных семей)   -  ЕДК
</t>
  </si>
  <si>
    <t xml:space="preserve">Мероприятия в области социальной политики (специалисты в сельской местности)  - ЕДВ </t>
  </si>
  <si>
    <t>Ежемесячные денежные компенсации на оплату жилищно-коммунальных услуг отдельным категориям граждан
(Социальные выплаты)
ФЗ "О социальной защите инвалидов", 
ФЗ "О ветеранах" ( в части ИОВ и приравненных к ним категорий ),
ФЗ "О социальной защите граждан, подвергшихся воздействию радиации на ЧАЭС"
Средства федерального бюджета</t>
  </si>
  <si>
    <t>Материальная помощь (Социальная политика)</t>
  </si>
  <si>
    <t>226900</t>
  </si>
  <si>
    <t>262200</t>
  </si>
  <si>
    <t xml:space="preserve">Иные работы и услуги </t>
  </si>
  <si>
    <t>263200</t>
  </si>
  <si>
    <t>262210</t>
  </si>
  <si>
    <t>225200</t>
  </si>
  <si>
    <t>310100</t>
  </si>
  <si>
    <t xml:space="preserve">Мероприятия в области социальной политики (специалисты в сельской местности)  - ЕДК </t>
  </si>
  <si>
    <t xml:space="preserve">Мероприятия в области социальной политики </t>
  </si>
  <si>
    <t>262220</t>
  </si>
  <si>
    <t>Налог на имущество организаций</t>
  </si>
  <si>
    <t>Налог на землю</t>
  </si>
  <si>
    <t xml:space="preserve">961 1003 </t>
  </si>
  <si>
    <t>340104</t>
  </si>
  <si>
    <t>Приобретение (изготовление) основных средств</t>
  </si>
  <si>
    <t>оплата проезда к месту служебной командировки</t>
  </si>
  <si>
    <t>оплата за проживание в жилых помещениях (найм жилого помещения) при службных командировках</t>
  </si>
  <si>
    <t xml:space="preserve">Суточные при служебных командировках </t>
  </si>
  <si>
    <t>Проведение республиканского субботника в поддержку старшего поколения</t>
  </si>
  <si>
    <t xml:space="preserve">Единовременное денежное вознаграждение к государственной награде Кабардино-Балкарской Республики - медаль "Материнская слава" и предоставление семьям, в которых воспитывается 10 и более детей </t>
  </si>
  <si>
    <t>ремонт (текущий и капитальный), реставрация нефинанс.активов</t>
  </si>
  <si>
    <t xml:space="preserve">961 1001 4910100 </t>
  </si>
  <si>
    <t>доплаты к пенсиям лицам,  государственных служащих Кабардино-Балкарской Республики</t>
  </si>
  <si>
    <t>доплаты к пенсиям, лицам, награжденным государственными наградами Кабардино-Балкарской Республики</t>
  </si>
  <si>
    <t>Проведение республиканского субботника  и других благотворительных акций и мероприятий, направленных на поддержку детей-сирот,  детей-инвалидов, детей из малообеспеченных семей</t>
  </si>
  <si>
    <t xml:space="preserve">Оказание других видов социальной помощи (Указ №26)   -  ЕДК
</t>
  </si>
  <si>
    <t>Прочие расходы  
(ежемесячное пособие на рождение и по уходу за ребенком до 1,5 лет)</t>
  </si>
  <si>
    <t>самостоятельно приобретенные путевки</t>
  </si>
  <si>
    <t>Газели</t>
  </si>
  <si>
    <t>Софинонсирование с Пенсионным Фондом РФ (рес.бюджет)</t>
  </si>
  <si>
    <t xml:space="preserve">961 1002 </t>
  </si>
  <si>
    <t>Социальное обслуживание населения</t>
  </si>
  <si>
    <t>Дома-интернаты для престарелых и инвалидов</t>
  </si>
  <si>
    <t>Обеспечение деятельности подведомственных учреждений</t>
  </si>
  <si>
    <t>210000</t>
  </si>
  <si>
    <t>услуги связи</t>
  </si>
  <si>
    <t>223100</t>
  </si>
  <si>
    <t>коммунальные услуги</t>
  </si>
  <si>
    <t>340103</t>
  </si>
  <si>
    <t>питание</t>
  </si>
  <si>
    <t>340102</t>
  </si>
  <si>
    <t>медикаменты</t>
  </si>
  <si>
    <t>290100</t>
  </si>
  <si>
    <t>налоги</t>
  </si>
  <si>
    <t>материальные затраты</t>
  </si>
  <si>
    <t>в том числе оплата труда (211, 213)</t>
  </si>
  <si>
    <t>Внебюджетные средства</t>
  </si>
  <si>
    <t>Внебюджетные средства (поступление пенсии опекаемых)</t>
  </si>
  <si>
    <t>Учреждения социального обслуживания населения</t>
  </si>
  <si>
    <t>в том числе оплата труда (211,213)</t>
  </si>
  <si>
    <t xml:space="preserve">Обеспечения граждан, не являющимися инвалидами, протезно-ортопедическими изделиями </t>
  </si>
  <si>
    <t>961 10</t>
  </si>
  <si>
    <t>Социальная политика</t>
  </si>
  <si>
    <t>% исполнения по отношению к лимиту</t>
  </si>
  <si>
    <t xml:space="preserve">Профинансировано
</t>
  </si>
  <si>
    <t>Кассовое исполнение</t>
  </si>
  <si>
    <t>Потребность</t>
  </si>
  <si>
    <t>% исполнения по отношению к факт. затратам</t>
  </si>
  <si>
    <t xml:space="preserve"> Выплата Участникам Великой Отечественной войны, вдовам погибших воинов материальной помощи на ремонт жилья.</t>
  </si>
  <si>
    <t>Единовременное пособие при рождении у одной матери одновременно трех и более детей</t>
  </si>
  <si>
    <t>Единовременное пособие при рождении ребенка (КБР)</t>
  </si>
  <si>
    <t xml:space="preserve">Предоставление отдельных мер социальной поддержки гражданам, подвергшихся воздействий радиации </t>
  </si>
  <si>
    <t>"Старшее поколение"(Мероприятия в области социальной политики), в том числе:</t>
  </si>
  <si>
    <t xml:space="preserve"> Выплата Участникам Великой Отечественной войны, вдовам погибших воинов ежегодной единовременной материальной помощи в размере 20,0 тыс. рублей</t>
  </si>
  <si>
    <t>"Улучшение демографической ситуации в Кабардино-Балкарской Республики до 2015 г."(Выполнение функций государственными органами )</t>
  </si>
  <si>
    <t>Обеспечение деятельности центров труда, занятости и социальной защиты МТЗиСЗ</t>
  </si>
  <si>
    <t>224000</t>
  </si>
  <si>
    <t>Арендная плата за пользованием имуществом</t>
  </si>
  <si>
    <t>Реализация мероприятий активной политики занятости населения (социальная поддержка безработных граждан)</t>
  </si>
  <si>
    <t>Социальные выплаты безработным гражданам в соответсвии с Законом РФ от 19.04.1991г. №1032-1</t>
  </si>
  <si>
    <t>Подведомственные учреждения центров труда, занятости и социальной защиты МТЗиСЗ</t>
  </si>
  <si>
    <t xml:space="preserve">Развития системы организации отдыха и оздоровления детей и подростков в КБР </t>
  </si>
  <si>
    <t xml:space="preserve">Проведение республиканского субботника в поддержку малоимущих семей </t>
  </si>
  <si>
    <t>Госзадание ГБУ "Геронтологический центр"</t>
  </si>
  <si>
    <t>Ежемесячные денежные компенсации на оплату ЖКУ  -  ЕДК</t>
  </si>
  <si>
    <t>Ежемесячные  денежные компенсации на оплату ЖКУ  -  ЕДК</t>
  </si>
  <si>
    <t>Софинансирование расходов на реализацию мероприятий гос.программы РФ "Доступная среда"(респуб.бюджет)</t>
  </si>
  <si>
    <t>2016  год</t>
  </si>
  <si>
    <t xml:space="preserve">Анализ исполнения республиканского бюджета Кабардино-Балкарской Республики по 
Министерству труда, занятости и социальной защиты КБР за январь-март 2016 года                                                             
                                        </t>
  </si>
  <si>
    <t xml:space="preserve"> 2016 год </t>
  </si>
  <si>
    <t>961 0113 03 0 00 90019 244</t>
  </si>
  <si>
    <t>961 1006 03 0 00 90019 851</t>
  </si>
  <si>
    <t>961 0705 03 0 00 90019 244</t>
  </si>
  <si>
    <t>961 0705 03 0 00 90019122</t>
  </si>
  <si>
    <t>961 0705 03 0 00 90019 122</t>
  </si>
  <si>
    <t>961 0707 03 3 06 72010 521</t>
  </si>
  <si>
    <t>961 0707 03 3 06 93977 244</t>
  </si>
  <si>
    <t>961 0707 03 3 06 93977 321</t>
  </si>
  <si>
    <t>961 1001 03 1 00 40010 312</t>
  </si>
  <si>
    <t>961 1001 03 1 00 40020 312</t>
  </si>
  <si>
    <t>961 1002 03 2 03 90000</t>
  </si>
  <si>
    <t>961 1002 03 2 03 90059</t>
  </si>
  <si>
    <t>961 1002 03 2 03 90048</t>
  </si>
  <si>
    <t>961 1002 03 2 039 0048</t>
  </si>
  <si>
    <t>961 1002 003 2 03 90059 600</t>
  </si>
  <si>
    <t>961 0401 07 1 02 900000</t>
  </si>
  <si>
    <t>961 0401 07 1 02 90059</t>
  </si>
  <si>
    <t xml:space="preserve">961 0401 07 1 02 24030
961 0401 07 1 05 24030
</t>
  </si>
  <si>
    <t>961 1003 07 1 05 52900</t>
  </si>
  <si>
    <t>961 1004 03 3 01 52700 313</t>
  </si>
  <si>
    <t>961 1003 03 1 14 40030 313</t>
  </si>
  <si>
    <t>961 1003 03 1 11 52200 313</t>
  </si>
  <si>
    <t>961 1003 03 1 00 40050 313</t>
  </si>
  <si>
    <t>961 1003 03 1 00 40140 313</t>
  </si>
  <si>
    <t>961 1003 03 1 00 40150 313</t>
  </si>
  <si>
    <t>961 100303 1 00 40000</t>
  </si>
  <si>
    <t>961 1003 03 1 00 40060 313</t>
  </si>
  <si>
    <t>961 1003 03 1 00 40070 313</t>
  </si>
  <si>
    <t>961 1004 03 3 01 53800 313</t>
  </si>
  <si>
    <t xml:space="preserve">961 1003 03 1 12 52400 </t>
  </si>
  <si>
    <t>961 1003 04 2 02 52800 321</t>
  </si>
  <si>
    <t xml:space="preserve">961 1003 03 1 08 52500 313 </t>
  </si>
  <si>
    <t>961 1003 03 1 13 40080 313</t>
  </si>
  <si>
    <t>961 1003 03 1 08 40040 313</t>
  </si>
  <si>
    <t>961 1003 03 1 00 40100 313</t>
  </si>
  <si>
    <t>961 1003 03 1 00 40120 313</t>
  </si>
  <si>
    <t>961 1003 03 1 00 40090 313</t>
  </si>
  <si>
    <t>961 1003 03 1 01 51370 313</t>
  </si>
  <si>
    <t>961 1003 03 1 00 22020 244</t>
  </si>
  <si>
    <t>961 1006 04 1 02 R0270 244</t>
  </si>
  <si>
    <t>961 1003 03 1 21 22040 360</t>
  </si>
  <si>
    <t>961 1003 03 1 21 22040 244</t>
  </si>
  <si>
    <t>961 1003 03 1 00 40160</t>
  </si>
  <si>
    <t xml:space="preserve">961 1003 03 1 00 40160 313 </t>
  </si>
  <si>
    <t>961 1003 03 1 00 40160 244</t>
  </si>
  <si>
    <t>961 1003 03 1 00 22060 360</t>
  </si>
  <si>
    <t>961 1004 03 3 05 22050 360</t>
  </si>
  <si>
    <t>961 1004 03 3 05 22050 244</t>
  </si>
  <si>
    <t>961 1006 03 3 08 40170 313</t>
  </si>
  <si>
    <t>961 1006 03 3 08 40170 244</t>
  </si>
  <si>
    <t>961 1003 03 0 00 59400 244</t>
  </si>
  <si>
    <t>961 1006 03 0 00 90019</t>
  </si>
  <si>
    <t>961 1006 03 6 01 R2090 244</t>
  </si>
  <si>
    <t>961 1003, 1004</t>
  </si>
  <si>
    <r>
      <t xml:space="preserve">Роспись 
расходов республиканского бюджета Кабардино-Балкарской Республики 
по Министерству труда, занятости и социальной защиты КБР на мероприятия по социальной политике на 2016 год 
</t>
    </r>
    <r>
      <rPr>
        <sz val="12"/>
        <rFont val="Times New Roman"/>
        <family val="1"/>
      </rPr>
      <t>(на 31.03.2016 года)</t>
    </r>
  </si>
  <si>
    <r>
      <t xml:space="preserve">Роспись 
расходов республиканского бюджета Кабардино-Балкарской Республики 
по Министерству труда, занятости и социальной защиты КБР на мероприятия по социальной политике на 2016 год 
</t>
    </r>
    <r>
      <rPr>
        <sz val="12"/>
        <rFont val="Times New Roman"/>
        <family val="1"/>
      </rPr>
      <t>(на 01.01.2016 года)</t>
    </r>
  </si>
  <si>
    <t>Кред/зад 
на 31.03.16г.
(с учетом кредиторки прошлых лет)</t>
  </si>
  <si>
    <t>961 0113 08  100 25130 360</t>
  </si>
  <si>
    <t>961 0705 99 9 00 92040 244</t>
  </si>
  <si>
    <t>961 0705 99 9 00 92040 122</t>
  </si>
  <si>
    <t>Иные работы и услуги (РЦП "Профилактика правонорушений в КБР" на 2011-2016 годы.)</t>
  </si>
  <si>
    <t>961 0113 08  1 00 25130 360</t>
  </si>
  <si>
    <t>Всего по Министерству труда, занятости и социальной защиты КБР</t>
  </si>
  <si>
    <t>1/4 годового лимита бюджетных обязательств (потребность)</t>
  </si>
  <si>
    <t>226600</t>
  </si>
  <si>
    <t>Приобретение и обслуживание программного обеспечения и информационных систем</t>
  </si>
  <si>
    <t>961 0410 07 1 02 97001</t>
  </si>
  <si>
    <t>Всего по Министерству труда занятости и социальной защиты КБР</t>
  </si>
  <si>
    <t>Мероприятия по временному социально-бытовому обустройству лиц, вынужденно покинувших территорию Украины и ныходящихся в пунктах временного размещения</t>
  </si>
  <si>
    <t>961 0113 99 9 00 52240 810</t>
  </si>
  <si>
    <t>961 0707 03 3 08 54570 244</t>
  </si>
  <si>
    <r>
      <t xml:space="preserve">Мероприятия по организации оздоровительной кампании детей </t>
    </r>
    <r>
      <rPr>
        <b/>
        <sz val="12"/>
        <rFont val="Times New Roman"/>
        <family val="1"/>
      </rPr>
      <t>(федеральный бюджет)</t>
    </r>
  </si>
  <si>
    <t>961 1006 04 1 03 R0270 244</t>
  </si>
  <si>
    <t>961 1002 04 1 02 R0270 244</t>
  </si>
  <si>
    <t>Материальная помощь на возмещения ущерба (теракт) (фед.бюджет)</t>
  </si>
  <si>
    <t>961 1003 10 1 01 51040 321</t>
  </si>
  <si>
    <t>Иные работы и услуги</t>
  </si>
  <si>
    <t>Софинонсирование с Пенсионным Фондом РФ (фед.бюджет)</t>
  </si>
  <si>
    <t>961 1006 03 6 01 5290 243</t>
  </si>
  <si>
    <t>961 1006 03 6 01 5290 244</t>
  </si>
  <si>
    <t xml:space="preserve">961 1006 39 0 05 0540 360  </t>
  </si>
  <si>
    <t>Материальная помощь (резервный фонд)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</si>
  <si>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
Выполнение функций государственными органами (содержание аппарата министерства)</t>
  </si>
  <si>
    <t>961 1003 03 0 00 59400 244 (1002 03 0 00 59400 НАМЫС )</t>
  </si>
  <si>
    <t>1/6 годового лимита бюджетных обязательств (потребность)</t>
  </si>
  <si>
    <t>961 1003,1004</t>
  </si>
  <si>
    <t>961 1003 07 1 05 24030</t>
  </si>
  <si>
    <t xml:space="preserve">961 0401 07 1 02 24030
</t>
  </si>
  <si>
    <t>Кред/зад 
на 30.06.16г.
(с учетом кредиторки прошлых лет)</t>
  </si>
  <si>
    <r>
      <t xml:space="preserve">Роспись 
расходов республиканского бюджета Кабардино-Балкарской Республики 
по Министерству труда, занятости и социальной защиты КБР на мероприятия по социальной политике на 2016 год 
</t>
    </r>
    <r>
      <rPr>
        <sz val="12"/>
        <rFont val="Times New Roman"/>
        <family val="1"/>
      </rPr>
      <t>(на 30.06.2016 года)</t>
    </r>
  </si>
  <si>
    <t xml:space="preserve">Анализ исполнения республиканского бюджета Кабардино-Балкарской Республики по 
Министерству труда, занятости и социальной защиты КБР за январь-июнь 2016 года                                                             
                                        </t>
  </si>
  <si>
    <r>
      <t xml:space="preserve">Роспись 
расходов республиканского бюджета Кабардино-Балкарской Республики 
по Министерству труда, занятости и социальной защиты КБР на мероприятия по социальной политике на 2016 год 
</t>
    </r>
    <r>
      <rPr>
        <sz val="12"/>
        <rFont val="Times New Roman"/>
        <family val="1"/>
      </rPr>
      <t>(на 30.09.2016 года)</t>
    </r>
  </si>
  <si>
    <t>961 1006 04 1 02 R0270 243</t>
  </si>
  <si>
    <t>290500</t>
  </si>
  <si>
    <t>340101</t>
  </si>
  <si>
    <t>961 1006 04 1 02 R0270 360</t>
  </si>
  <si>
    <t>Софинансирование расходов на реализацию мероприятий гос.программы РФ "Доступная среда"(федеральный бюджет)</t>
  </si>
  <si>
    <t>961 1006 04 1 02 50270 244</t>
  </si>
  <si>
    <t>961 1006 04 1 02 50270 243</t>
  </si>
  <si>
    <t>Приобретение (изготовление) подарочной и сувенирной продукции, не предназначенной для дальнейшей перепродажи, представительские расходы, прием и обслуживание делегаций</t>
  </si>
  <si>
    <t>Приобретение других материальных запасов</t>
  </si>
  <si>
    <t>Другие выплаты по социальной помощи</t>
  </si>
  <si>
    <t xml:space="preserve">Анализ исполнения республиканского бюджета Кабардино-Балкарской Республики по 
Министерству труда, занятости и социальной защиты КБР за январь-сентябрь 2016 года                                                             
                                        </t>
  </si>
  <si>
    <t>1/9 годового лимита бюджетных обязательств (потребность)</t>
  </si>
  <si>
    <t>Кред/зад 
на 30.09.16г.
(с учетом кредиторки прошлых лет)</t>
  </si>
  <si>
    <t>Мероприятия по организации оздоровительной кампании детей (федеральный бюджет)</t>
  </si>
  <si>
    <t>в том числе оплата труда (211, 213,212)</t>
  </si>
  <si>
    <t>в том числе оплата труда (211,213,212)</t>
  </si>
  <si>
    <t xml:space="preserve">Анализ исполнения республиканского бюджета Кабардино-Балкарской Республики по 
Министерству труда, занятости и социальной защиты КБР за январь-декабрь 2016 года                                                             
                                        </t>
  </si>
  <si>
    <t>Кред/зад 
на 01.01.17г.
(с учетом кредиторки прошлых лет)</t>
  </si>
  <si>
    <r>
      <t xml:space="preserve">Роспись 
расходов республиканского бюджета Кабардино-Балкарской Республики 
по Министерству труда, занятости и социальной защиты КБР на мероприятия по социальной политике на 2016 год 
</t>
    </r>
    <r>
      <rPr>
        <sz val="12"/>
        <rFont val="Times New Roman"/>
        <family val="1"/>
      </rPr>
      <t>(на 31.12.2016 года)</t>
    </r>
  </si>
  <si>
    <t>Годовой лимита бюджетных обязательств (потребность)</t>
  </si>
  <si>
    <t>961 1006 03 6 01 R2090 243</t>
  </si>
  <si>
    <t>961 0801 11 2 05 96486 244</t>
  </si>
  <si>
    <t>Приобретение (изготовление) подарочной и сувенирной продукции (новогодняя елка</t>
  </si>
  <si>
    <t>961 1003 03 1 0854620 313</t>
  </si>
  <si>
    <t>961 1003 031 08R4620 244</t>
  </si>
  <si>
    <t>221100
226900</t>
  </si>
  <si>
    <t xml:space="preserve">На компенсацию отдельным категориям граждан оплаты взноса на капитальный ремонт общего имущества в многоквартирном доме </t>
  </si>
  <si>
    <t>Ежемесячные денежные компенсации на оплату ЖКУ</t>
  </si>
  <si>
    <t xml:space="preserve">Иные выплаты </t>
  </si>
  <si>
    <t xml:space="preserve">Имущественный ущерб политрепрессированным </t>
  </si>
  <si>
    <t>961 1003 03 11 353000 312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</si>
</sst>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E+00"/>
    <numFmt numFmtId="193" formatCode="[$-FC19]d\ mmmm\ yyyy\ &quot;г.&quot;"/>
    <numFmt numFmtId="194" formatCode="0.000000"/>
    <numFmt numFmtId="195" formatCode="#,##0.00_р_."/>
    <numFmt numFmtId="196" formatCode="#,##0.0_р_."/>
    <numFmt numFmtId="197" formatCode="_(* #,##0.0_);_(* \(#,##0.0\);_(* &quot;-&quot;??_);_(@_)"/>
    <numFmt numFmtId="198" formatCode="_(* #,##0.000_);_(* \(#,##0.000\);_(* &quot;-&quot;??_);_(@_)"/>
    <numFmt numFmtId="199" formatCode="_(* #,##0_);_(* \(#,##0\);_(* &quot;-&quot;??_);_(@_)"/>
    <numFmt numFmtId="200" formatCode="#,##0.000_р_."/>
    <numFmt numFmtId="201" formatCode="_-* #,##0.000_р_._-;\-* #,##0.000_р_._-;_-* &quot;-&quot;???_р_._-;_-@_-"/>
    <numFmt numFmtId="202" formatCode="_-* #,##0.0_р_._-;\-* #,##0.0_р_._-;_-* &quot;-&quot;??_р_._-;_-@_-"/>
    <numFmt numFmtId="203" formatCode="_-* #,##0.000_р_._-;\-* #,##0.000_р_._-;_-* &quot;-&quot;??_р_._-;_-@_-"/>
    <numFmt numFmtId="204" formatCode="_(* #,##0.0000_);_(* \(#,##0.0000\);_(* &quot;-&quot;??_);_(@_)"/>
    <numFmt numFmtId="205" formatCode="_-* #,##0.0000_р_._-;\-* #,##0.0000_р_._-;_-* &quot;-&quot;????_р_._-;_-@_-"/>
    <numFmt numFmtId="206" formatCode="_(* #,##0.00000_);_(* \(#,##0.00000\);_(* &quot;-&quot;??_);_(@_)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"/>
    <numFmt numFmtId="217" formatCode="_-* #,##0.0_р_._-;\-* #,##0.0_р_._-;_-* &quot;-&quot;?_р_._-;_-@_-"/>
    <numFmt numFmtId="218" formatCode="#,##0_р_."/>
    <numFmt numFmtId="219" formatCode="0.0000000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3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49" fontId="8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vertical="top"/>
    </xf>
    <xf numFmtId="49" fontId="7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vertical="top"/>
    </xf>
    <xf numFmtId="43" fontId="3" fillId="33" borderId="0" xfId="60" applyNumberFormat="1" applyFont="1" applyFill="1" applyBorder="1" applyAlignment="1">
      <alignment horizontal="right" vertical="top" wrapText="1"/>
    </xf>
    <xf numFmtId="43" fontId="8" fillId="33" borderId="0" xfId="0" applyNumberFormat="1" applyFont="1" applyFill="1" applyAlignment="1">
      <alignment vertical="top"/>
    </xf>
    <xf numFmtId="49" fontId="8" fillId="33" borderId="10" xfId="0" applyNumberFormat="1" applyFont="1" applyFill="1" applyBorder="1" applyAlignment="1">
      <alignment horizontal="left" vertical="top" wrapText="1"/>
    </xf>
    <xf numFmtId="43" fontId="4" fillId="33" borderId="0" xfId="0" applyNumberFormat="1" applyFont="1" applyFill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195" fontId="4" fillId="33" borderId="10" xfId="0" applyNumberFormat="1" applyFont="1" applyFill="1" applyBorder="1" applyAlignment="1">
      <alignment horizontal="center" vertical="top" wrapText="1"/>
    </xf>
    <xf numFmtId="43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49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195" fontId="3" fillId="33" borderId="10" xfId="0" applyNumberFormat="1" applyFont="1" applyFill="1" applyBorder="1" applyAlignment="1">
      <alignment horizontal="center" vertical="top" wrapText="1"/>
    </xf>
    <xf numFmtId="195" fontId="4" fillId="33" borderId="10" xfId="60" applyNumberFormat="1" applyFont="1" applyFill="1" applyBorder="1" applyAlignment="1">
      <alignment horizontal="center" vertical="top" wrapText="1"/>
    </xf>
    <xf numFmtId="195" fontId="3" fillId="0" borderId="10" xfId="60" applyNumberFormat="1" applyFont="1" applyFill="1" applyBorder="1" applyAlignment="1">
      <alignment horizontal="center" vertical="top"/>
    </xf>
    <xf numFmtId="195" fontId="3" fillId="33" borderId="10" xfId="60" applyNumberFormat="1" applyFont="1" applyFill="1" applyBorder="1" applyAlignment="1">
      <alignment horizontal="center" vertical="top" wrapText="1"/>
    </xf>
    <xf numFmtId="195" fontId="3" fillId="33" borderId="10" xfId="60" applyNumberFormat="1" applyFont="1" applyFill="1" applyBorder="1" applyAlignment="1">
      <alignment horizontal="center" vertical="top"/>
    </xf>
    <xf numFmtId="195" fontId="3" fillId="0" borderId="10" xfId="60" applyNumberFormat="1" applyFont="1" applyFill="1" applyBorder="1" applyAlignment="1">
      <alignment horizontal="center" vertical="top" wrapText="1"/>
    </xf>
    <xf numFmtId="195" fontId="4" fillId="0" borderId="10" xfId="60" applyNumberFormat="1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/>
    </xf>
    <xf numFmtId="195" fontId="8" fillId="33" borderId="10" xfId="60" applyNumberFormat="1" applyFont="1" applyFill="1" applyBorder="1" applyAlignment="1">
      <alignment horizontal="center" vertical="top" wrapText="1"/>
    </xf>
    <xf numFmtId="195" fontId="4" fillId="33" borderId="10" xfId="60" applyNumberFormat="1" applyFont="1" applyFill="1" applyBorder="1" applyAlignment="1">
      <alignment horizontal="center" vertical="top"/>
    </xf>
    <xf numFmtId="195" fontId="7" fillId="0" borderId="10" xfId="6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center" vertical="top"/>
    </xf>
    <xf numFmtId="195" fontId="8" fillId="0" borderId="10" xfId="60" applyNumberFormat="1" applyFont="1" applyFill="1" applyBorder="1" applyAlignment="1">
      <alignment horizontal="center" vertical="top" wrapText="1"/>
    </xf>
    <xf numFmtId="195" fontId="3" fillId="33" borderId="10" xfId="0" applyNumberFormat="1" applyFont="1" applyFill="1" applyBorder="1" applyAlignment="1">
      <alignment horizontal="center" vertical="top"/>
    </xf>
    <xf numFmtId="195" fontId="4" fillId="33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33" borderId="0" xfId="0" applyNumberFormat="1" applyFont="1" applyFill="1" applyBorder="1" applyAlignment="1">
      <alignment horizontal="center" vertical="top"/>
    </xf>
    <xf numFmtId="196" fontId="4" fillId="33" borderId="10" xfId="0" applyNumberFormat="1" applyFont="1" applyFill="1" applyBorder="1" applyAlignment="1">
      <alignment horizontal="right" vertical="top" wrapText="1"/>
    </xf>
    <xf numFmtId="196" fontId="4" fillId="33" borderId="10" xfId="60" applyNumberFormat="1" applyFont="1" applyFill="1" applyBorder="1" applyAlignment="1">
      <alignment horizontal="right" vertical="top" wrapText="1"/>
    </xf>
    <xf numFmtId="196" fontId="3" fillId="33" borderId="10" xfId="60" applyNumberFormat="1" applyFont="1" applyFill="1" applyBorder="1" applyAlignment="1">
      <alignment horizontal="right" vertical="top" wrapText="1"/>
    </xf>
    <xf numFmtId="196" fontId="8" fillId="33" borderId="10" xfId="60" applyNumberFormat="1" applyFont="1" applyFill="1" applyBorder="1" applyAlignment="1">
      <alignment horizontal="right" vertical="top" wrapText="1"/>
    </xf>
    <xf numFmtId="196" fontId="7" fillId="33" borderId="10" xfId="60" applyNumberFormat="1" applyFont="1" applyFill="1" applyBorder="1" applyAlignment="1">
      <alignment horizontal="right" vertical="top" wrapText="1"/>
    </xf>
    <xf numFmtId="196" fontId="4" fillId="33" borderId="10" xfId="0" applyNumberFormat="1" applyFont="1" applyFill="1" applyBorder="1" applyAlignment="1">
      <alignment horizontal="right" vertical="top"/>
    </xf>
    <xf numFmtId="196" fontId="3" fillId="33" borderId="10" xfId="0" applyNumberFormat="1" applyFont="1" applyFill="1" applyBorder="1" applyAlignment="1">
      <alignment horizontal="right" vertical="top" wrapText="1"/>
    </xf>
    <xf numFmtId="196" fontId="3" fillId="33" borderId="10" xfId="0" applyNumberFormat="1" applyFont="1" applyFill="1" applyBorder="1" applyAlignment="1">
      <alignment horizontal="right" vertical="top"/>
    </xf>
    <xf numFmtId="216" fontId="4" fillId="33" borderId="0" xfId="0" applyNumberFormat="1" applyFont="1" applyFill="1" applyAlignment="1">
      <alignment vertical="top"/>
    </xf>
    <xf numFmtId="216" fontId="8" fillId="33" borderId="0" xfId="0" applyNumberFormat="1" applyFont="1" applyFill="1" applyBorder="1" applyAlignment="1">
      <alignment vertical="top"/>
    </xf>
    <xf numFmtId="195" fontId="7" fillId="33" borderId="10" xfId="60" applyNumberFormat="1" applyFont="1" applyFill="1" applyBorder="1" applyAlignment="1">
      <alignment horizontal="center" vertical="top" wrapText="1"/>
    </xf>
    <xf numFmtId="196" fontId="3" fillId="0" borderId="0" xfId="0" applyNumberFormat="1" applyFont="1" applyFill="1" applyAlignment="1">
      <alignment vertical="top"/>
    </xf>
    <xf numFmtId="195" fontId="9" fillId="33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196" fontId="4" fillId="0" borderId="10" xfId="0" applyNumberFormat="1" applyFont="1" applyFill="1" applyBorder="1" applyAlignment="1">
      <alignment horizontal="right" vertical="top" wrapText="1"/>
    </xf>
    <xf numFmtId="196" fontId="4" fillId="0" borderId="10" xfId="60" applyNumberFormat="1" applyFont="1" applyFill="1" applyBorder="1" applyAlignment="1">
      <alignment horizontal="right" vertical="top" wrapText="1"/>
    </xf>
    <xf numFmtId="196" fontId="3" fillId="0" borderId="10" xfId="60" applyNumberFormat="1" applyFont="1" applyFill="1" applyBorder="1" applyAlignment="1">
      <alignment horizontal="right" vertical="top" wrapText="1"/>
    </xf>
    <xf numFmtId="4" fontId="9" fillId="0" borderId="11" xfId="0" applyNumberFormat="1" applyFont="1" applyFill="1" applyBorder="1" applyAlignment="1">
      <alignment horizontal="right"/>
    </xf>
    <xf numFmtId="196" fontId="8" fillId="0" borderId="10" xfId="60" applyNumberFormat="1" applyFont="1" applyFill="1" applyBorder="1" applyAlignment="1">
      <alignment horizontal="right" vertical="top" wrapText="1"/>
    </xf>
    <xf numFmtId="196" fontId="7" fillId="0" borderId="10" xfId="60" applyNumberFormat="1" applyFont="1" applyFill="1" applyBorder="1" applyAlignment="1">
      <alignment horizontal="right" vertical="top" wrapText="1"/>
    </xf>
    <xf numFmtId="196" fontId="4" fillId="0" borderId="10" xfId="0" applyNumberFormat="1" applyFont="1" applyFill="1" applyBorder="1" applyAlignment="1">
      <alignment horizontal="right" vertical="top"/>
    </xf>
    <xf numFmtId="196" fontId="3" fillId="0" borderId="10" xfId="0" applyNumberFormat="1" applyFont="1" applyFill="1" applyBorder="1" applyAlignment="1">
      <alignment horizontal="right" vertical="top" wrapText="1"/>
    </xf>
    <xf numFmtId="196" fontId="3" fillId="0" borderId="10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43" fontId="3" fillId="33" borderId="10" xfId="0" applyNumberFormat="1" applyFont="1" applyFill="1" applyBorder="1" applyAlignment="1">
      <alignment horizontal="center" vertical="top"/>
    </xf>
    <xf numFmtId="43" fontId="4" fillId="0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196" fontId="4" fillId="34" borderId="10" xfId="60" applyNumberFormat="1" applyFont="1" applyFill="1" applyBorder="1" applyAlignment="1">
      <alignment horizontal="right" vertical="top" wrapText="1"/>
    </xf>
    <xf numFmtId="196" fontId="4" fillId="33" borderId="0" xfId="0" applyNumberFormat="1" applyFont="1" applyFill="1" applyAlignment="1">
      <alignment vertical="top"/>
    </xf>
    <xf numFmtId="196" fontId="4" fillId="0" borderId="10" xfId="60" applyNumberFormat="1" applyFont="1" applyFill="1" applyBorder="1" applyAlignment="1">
      <alignment horizontal="center"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96" fontId="3" fillId="33" borderId="10" xfId="60" applyNumberFormat="1" applyFont="1" applyFill="1" applyBorder="1" applyAlignment="1">
      <alignment horizontal="center" vertical="top"/>
    </xf>
    <xf numFmtId="196" fontId="3" fillId="0" borderId="10" xfId="60" applyNumberFormat="1" applyFont="1" applyFill="1" applyBorder="1" applyAlignment="1">
      <alignment horizontal="center" vertical="top"/>
    </xf>
    <xf numFmtId="196" fontId="3" fillId="0" borderId="10" xfId="0" applyNumberFormat="1" applyFont="1" applyFill="1" applyBorder="1" applyAlignment="1">
      <alignment horizontal="center" vertical="top"/>
    </xf>
    <xf numFmtId="196" fontId="3" fillId="33" borderId="10" xfId="60" applyNumberFormat="1" applyFont="1" applyFill="1" applyBorder="1" applyAlignment="1">
      <alignment horizontal="center" vertical="top" wrapText="1"/>
    </xf>
    <xf numFmtId="196" fontId="4" fillId="33" borderId="10" xfId="60" applyNumberFormat="1" applyFont="1" applyFill="1" applyBorder="1" applyAlignment="1">
      <alignment horizontal="center" vertical="top" wrapText="1"/>
    </xf>
    <xf numFmtId="196" fontId="9" fillId="33" borderId="10" xfId="0" applyNumberFormat="1" applyFont="1" applyFill="1" applyBorder="1" applyAlignment="1">
      <alignment horizontal="center" vertical="top" wrapText="1"/>
    </xf>
    <xf numFmtId="196" fontId="3" fillId="0" borderId="10" xfId="60" applyNumberFormat="1" applyFont="1" applyFill="1" applyBorder="1" applyAlignment="1">
      <alignment horizontal="center" vertical="top" wrapText="1"/>
    </xf>
    <xf numFmtId="196" fontId="4" fillId="0" borderId="10" xfId="0" applyNumberFormat="1" applyFont="1" applyFill="1" applyBorder="1" applyAlignment="1">
      <alignment horizontal="center" vertical="top"/>
    </xf>
    <xf numFmtId="196" fontId="3" fillId="33" borderId="10" xfId="0" applyNumberFormat="1" applyFont="1" applyFill="1" applyBorder="1" applyAlignment="1">
      <alignment horizontal="center" vertical="top"/>
    </xf>
    <xf numFmtId="196" fontId="4" fillId="0" borderId="10" xfId="0" applyNumberFormat="1" applyFont="1" applyFill="1" applyBorder="1" applyAlignment="1">
      <alignment horizontal="center" vertical="top" wrapText="1"/>
    </xf>
    <xf numFmtId="196" fontId="7" fillId="0" borderId="10" xfId="60" applyNumberFormat="1" applyFont="1" applyFill="1" applyBorder="1" applyAlignment="1">
      <alignment horizontal="center" vertical="top" wrapText="1"/>
    </xf>
    <xf numFmtId="196" fontId="8" fillId="33" borderId="10" xfId="60" applyNumberFormat="1" applyFont="1" applyFill="1" applyBorder="1" applyAlignment="1">
      <alignment horizontal="center" vertical="top" wrapText="1"/>
    </xf>
    <xf numFmtId="196" fontId="7" fillId="33" borderId="10" xfId="60" applyNumberFormat="1" applyFont="1" applyFill="1" applyBorder="1" applyAlignment="1">
      <alignment horizontal="center" vertical="top" wrapText="1"/>
    </xf>
    <xf numFmtId="196" fontId="3" fillId="33" borderId="10" xfId="0" applyNumberFormat="1" applyFont="1" applyFill="1" applyBorder="1" applyAlignment="1">
      <alignment horizontal="center" vertical="top" wrapText="1"/>
    </xf>
    <xf numFmtId="196" fontId="8" fillId="0" borderId="10" xfId="60" applyNumberFormat="1" applyFont="1" applyFill="1" applyBorder="1" applyAlignment="1">
      <alignment horizontal="center" vertical="top" wrapText="1"/>
    </xf>
    <xf numFmtId="196" fontId="4" fillId="33" borderId="10" xfId="60" applyNumberFormat="1" applyFont="1" applyFill="1" applyBorder="1" applyAlignment="1">
      <alignment horizontal="center" vertical="top"/>
    </xf>
    <xf numFmtId="196" fontId="4" fillId="33" borderId="10" xfId="0" applyNumberFormat="1" applyFont="1" applyFill="1" applyBorder="1" applyAlignment="1">
      <alignment horizontal="center" vertical="top" wrapText="1"/>
    </xf>
    <xf numFmtId="196" fontId="3" fillId="3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/>
    </xf>
    <xf numFmtId="0" fontId="8" fillId="34" borderId="10" xfId="0" applyFont="1" applyFill="1" applyBorder="1" applyAlignment="1">
      <alignment vertical="top" wrapText="1"/>
    </xf>
    <xf numFmtId="196" fontId="8" fillId="34" borderId="10" xfId="60" applyNumberFormat="1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vertical="top"/>
    </xf>
    <xf numFmtId="49" fontId="4" fillId="34" borderId="10" xfId="0" applyNumberFormat="1" applyFont="1" applyFill="1" applyBorder="1" applyAlignment="1">
      <alignment horizontal="left" vertical="top"/>
    </xf>
    <xf numFmtId="0" fontId="4" fillId="34" borderId="10" xfId="0" applyFont="1" applyFill="1" applyBorder="1" applyAlignment="1">
      <alignment vertical="top" wrapText="1"/>
    </xf>
    <xf numFmtId="43" fontId="3" fillId="0" borderId="10" xfId="0" applyNumberFormat="1" applyFont="1" applyFill="1" applyBorder="1" applyAlignment="1">
      <alignment vertical="top"/>
    </xf>
    <xf numFmtId="43" fontId="3" fillId="0" borderId="10" xfId="0" applyNumberFormat="1" applyFont="1" applyFill="1" applyBorder="1" applyAlignment="1">
      <alignment horizontal="center" vertical="top"/>
    </xf>
    <xf numFmtId="217" fontId="4" fillId="0" borderId="10" xfId="0" applyNumberFormat="1" applyFont="1" applyFill="1" applyBorder="1" applyAlignment="1">
      <alignment horizontal="center" vertical="top"/>
    </xf>
    <xf numFmtId="217" fontId="3" fillId="0" borderId="10" xfId="0" applyNumberFormat="1" applyFont="1" applyFill="1" applyBorder="1" applyAlignment="1">
      <alignment vertical="top"/>
    </xf>
    <xf numFmtId="217" fontId="3" fillId="0" borderId="10" xfId="0" applyNumberFormat="1" applyFont="1" applyFill="1" applyBorder="1" applyAlignment="1">
      <alignment horizontal="center" vertical="top"/>
    </xf>
    <xf numFmtId="196" fontId="3" fillId="34" borderId="10" xfId="0" applyNumberFormat="1" applyFont="1" applyFill="1" applyBorder="1" applyAlignment="1">
      <alignment horizontal="center" vertical="top" wrapText="1"/>
    </xf>
    <xf numFmtId="196" fontId="3" fillId="34" borderId="10" xfId="6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center" vertical="top"/>
    </xf>
    <xf numFmtId="196" fontId="3" fillId="34" borderId="10" xfId="60" applyNumberFormat="1" applyFont="1" applyFill="1" applyBorder="1" applyAlignment="1">
      <alignment horizontal="center" vertical="top" wrapText="1"/>
    </xf>
    <xf numFmtId="196" fontId="3" fillId="34" borderId="10" xfId="60" applyNumberFormat="1" applyFont="1" applyFill="1" applyBorder="1" applyAlignment="1">
      <alignment horizontal="center" vertical="top"/>
    </xf>
    <xf numFmtId="216" fontId="4" fillId="0" borderId="0" xfId="0" applyNumberFormat="1" applyFont="1" applyFill="1" applyAlignment="1">
      <alignment vertical="top"/>
    </xf>
    <xf numFmtId="0" fontId="7" fillId="34" borderId="10" xfId="0" applyFont="1" applyFill="1" applyBorder="1" applyAlignment="1">
      <alignment vertical="top" wrapText="1"/>
    </xf>
    <xf numFmtId="196" fontId="7" fillId="34" borderId="10" xfId="6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left" vertical="top"/>
    </xf>
    <xf numFmtId="2" fontId="7" fillId="34" borderId="0" xfId="0" applyNumberFormat="1" applyFont="1" applyFill="1" applyAlignment="1">
      <alignment vertical="top"/>
    </xf>
    <xf numFmtId="0" fontId="7" fillId="34" borderId="0" xfId="0" applyFont="1" applyFill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 vertical="top"/>
    </xf>
    <xf numFmtId="2" fontId="4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/>
    </xf>
    <xf numFmtId="196" fontId="4" fillId="0" borderId="0" xfId="0" applyNumberFormat="1" applyFont="1" applyFill="1" applyAlignment="1">
      <alignment vertical="top"/>
    </xf>
    <xf numFmtId="216" fontId="8" fillId="0" borderId="0" xfId="0" applyNumberFormat="1" applyFont="1" applyFill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196" fontId="3" fillId="0" borderId="0" xfId="0" applyNumberFormat="1" applyFont="1" applyFill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N133"/>
  <sheetViews>
    <sheetView tabSelected="1" view="pageBreakPreview" zoomScaleNormal="80" zoomScaleSheetLayoutView="100" zoomScalePageLayoutView="0" workbookViewId="0" topLeftCell="A1">
      <pane xSplit="4" ySplit="5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0" sqref="F10"/>
    </sheetView>
  </sheetViews>
  <sheetFormatPr defaultColWidth="9.140625" defaultRowHeight="12.75"/>
  <cols>
    <col min="1" max="1" width="28.140625" style="5" customWidth="1"/>
    <col min="2" max="2" width="10.8515625" style="5" customWidth="1"/>
    <col min="3" max="3" width="43.28125" style="5" customWidth="1"/>
    <col min="4" max="4" width="15.57421875" style="32" customWidth="1"/>
    <col min="5" max="5" width="15.421875" style="8" customWidth="1"/>
    <col min="6" max="6" width="14.7109375" style="8" customWidth="1"/>
    <col min="7" max="7" width="16.00390625" style="5" customWidth="1"/>
    <col min="8" max="8" width="15.7109375" style="5" customWidth="1"/>
    <col min="9" max="9" width="13.421875" style="5" customWidth="1"/>
    <col min="10" max="10" width="13.57421875" style="5" customWidth="1"/>
    <col min="11" max="11" width="7.421875" style="5" customWidth="1"/>
    <col min="12" max="12" width="11.28125" style="5" customWidth="1"/>
    <col min="13" max="13" width="11.57421875" style="5" customWidth="1"/>
    <col min="14" max="14" width="10.421875" style="5" customWidth="1"/>
    <col min="15" max="16384" width="9.140625" style="5" customWidth="1"/>
  </cols>
  <sheetData>
    <row r="2" spans="1:11" ht="44.25" customHeight="1">
      <c r="A2" s="170" t="s">
        <v>229</v>
      </c>
      <c r="B2" s="170"/>
      <c r="C2" s="170"/>
      <c r="D2" s="170"/>
      <c r="E2" s="170"/>
      <c r="F2" s="170"/>
      <c r="G2" s="170"/>
      <c r="H2" s="170"/>
      <c r="I2" s="170"/>
      <c r="J2" s="170"/>
      <c r="K2" s="36"/>
    </row>
    <row r="3" spans="1:10" s="8" customFormat="1" ht="15.75" customHeight="1">
      <c r="A3" s="171" t="s">
        <v>0</v>
      </c>
      <c r="B3" s="171" t="s">
        <v>17</v>
      </c>
      <c r="C3" s="171" t="s">
        <v>1</v>
      </c>
      <c r="D3" s="171" t="s">
        <v>120</v>
      </c>
      <c r="E3" s="171"/>
      <c r="F3" s="171"/>
      <c r="G3" s="171"/>
      <c r="H3" s="171"/>
      <c r="I3" s="171" t="s">
        <v>94</v>
      </c>
      <c r="J3" s="171" t="s">
        <v>98</v>
      </c>
    </row>
    <row r="4" spans="1:10" s="8" customFormat="1" ht="88.5" customHeight="1">
      <c r="A4" s="171"/>
      <c r="B4" s="171"/>
      <c r="C4" s="171"/>
      <c r="D4" s="6" t="s">
        <v>232</v>
      </c>
      <c r="E4" s="6" t="s">
        <v>95</v>
      </c>
      <c r="F4" s="6" t="s">
        <v>96</v>
      </c>
      <c r="G4" s="6" t="s">
        <v>230</v>
      </c>
      <c r="H4" s="6" t="s">
        <v>97</v>
      </c>
      <c r="I4" s="171"/>
      <c r="J4" s="171"/>
    </row>
    <row r="5" spans="1:10" s="8" customFormat="1" ht="15.75">
      <c r="A5" s="6">
        <v>1</v>
      </c>
      <c r="B5" s="6">
        <f aca="true" t="shared" si="0" ref="B5:H5">A5+1</f>
        <v>2</v>
      </c>
      <c r="C5" s="6">
        <f t="shared" si="0"/>
        <v>3</v>
      </c>
      <c r="D5" s="6">
        <f t="shared" si="0"/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7">
        <v>9</v>
      </c>
      <c r="J5" s="7">
        <v>10</v>
      </c>
    </row>
    <row r="6" spans="1:10" s="8" customFormat="1" ht="31.5">
      <c r="A6" s="6"/>
      <c r="B6" s="6"/>
      <c r="C6" s="9" t="s">
        <v>183</v>
      </c>
      <c r="D6" s="126">
        <f>D7+D10+D15+D20</f>
        <v>4654193.2</v>
      </c>
      <c r="E6" s="126">
        <f>E7+E10+E15+E20</f>
        <v>4507075.9</v>
      </c>
      <c r="F6" s="126">
        <f>F7+F10+F15+F20</f>
        <v>4507075.9</v>
      </c>
      <c r="G6" s="126">
        <f>G7+G10+G15+G20</f>
        <v>58932.2</v>
      </c>
      <c r="H6" s="126">
        <f>H7+H10+H15+H20</f>
        <v>4565777.6</v>
      </c>
      <c r="I6" s="62">
        <f>E6*100/D6</f>
        <v>97</v>
      </c>
      <c r="J6" s="62">
        <f>E6*100/H6</f>
        <v>99</v>
      </c>
    </row>
    <row r="7" spans="1:10" s="8" customFormat="1" ht="15.75">
      <c r="A7" s="9" t="s">
        <v>5</v>
      </c>
      <c r="B7" s="6"/>
      <c r="C7" s="9" t="s">
        <v>4</v>
      </c>
      <c r="D7" s="115">
        <f>D8+D9</f>
        <v>18508.4</v>
      </c>
      <c r="E7" s="115">
        <f>E8+E9</f>
        <v>17946.6</v>
      </c>
      <c r="F7" s="115">
        <f>F8+F9</f>
        <v>17946.6</v>
      </c>
      <c r="G7" s="115">
        <f>G8+G9</f>
        <v>0</v>
      </c>
      <c r="H7" s="115">
        <f>H8+H9</f>
        <v>17946.6</v>
      </c>
      <c r="I7" s="62">
        <f>E7*100/D7</f>
        <v>97</v>
      </c>
      <c r="J7" s="62">
        <f>E7*100/H7</f>
        <v>100</v>
      </c>
    </row>
    <row r="8" spans="1:10" s="13" customFormat="1" ht="87" customHeight="1">
      <c r="A8" s="11" t="s">
        <v>190</v>
      </c>
      <c r="B8" s="12">
        <v>242000</v>
      </c>
      <c r="C8" s="12" t="s">
        <v>189</v>
      </c>
      <c r="D8" s="116">
        <f>'РОСПИСЬ на 31122016'!D8</f>
        <v>18358.4</v>
      </c>
      <c r="E8" s="117">
        <v>17836</v>
      </c>
      <c r="F8" s="117">
        <v>17836</v>
      </c>
      <c r="G8" s="118">
        <v>0</v>
      </c>
      <c r="H8" s="119">
        <f>G8+E8</f>
        <v>17836</v>
      </c>
      <c r="I8" s="35">
        <f aca="true" t="shared" si="1" ref="I8:I73">E8*100/D8</f>
        <v>97</v>
      </c>
      <c r="J8" s="35">
        <f>E8*100/H8</f>
        <v>100</v>
      </c>
    </row>
    <row r="9" spans="1:10" s="13" customFormat="1" ht="57.75" customHeight="1">
      <c r="A9" s="11" t="s">
        <v>178</v>
      </c>
      <c r="B9" s="12">
        <v>290900</v>
      </c>
      <c r="C9" s="12" t="s">
        <v>181</v>
      </c>
      <c r="D9" s="116">
        <f>'РОСПИСЬ на 31122016'!D9</f>
        <v>150</v>
      </c>
      <c r="E9" s="117">
        <v>110.6</v>
      </c>
      <c r="F9" s="117">
        <v>110.6</v>
      </c>
      <c r="G9" s="118">
        <v>0</v>
      </c>
      <c r="H9" s="119">
        <f>G9+E9</f>
        <v>110.6</v>
      </c>
      <c r="I9" s="35">
        <f t="shared" si="1"/>
        <v>74</v>
      </c>
      <c r="J9" s="35">
        <f>E9*100/H9</f>
        <v>100</v>
      </c>
    </row>
    <row r="10" spans="1:10" s="13" customFormat="1" ht="15.75">
      <c r="A10" s="9" t="s">
        <v>6</v>
      </c>
      <c r="B10" s="9"/>
      <c r="C10" s="9" t="s">
        <v>7</v>
      </c>
      <c r="D10" s="115">
        <f>SUM(D11:D14)</f>
        <v>380.7</v>
      </c>
      <c r="E10" s="115">
        <f>SUM(E11:E14)</f>
        <v>92.6</v>
      </c>
      <c r="F10" s="115">
        <f>SUM(F11:F14)</f>
        <v>92.6</v>
      </c>
      <c r="G10" s="115">
        <f>SUM(G11:G14)</f>
        <v>0.3</v>
      </c>
      <c r="H10" s="115">
        <f>SUM(H11:H14)</f>
        <v>92.9</v>
      </c>
      <c r="I10" s="62">
        <f t="shared" si="1"/>
        <v>24</v>
      </c>
      <c r="J10" s="62">
        <f aca="true" t="shared" si="2" ref="J10:J77">E10*100/H10</f>
        <v>100</v>
      </c>
    </row>
    <row r="11" spans="1:10" s="13" customFormat="1" ht="31.5">
      <c r="A11" s="11" t="s">
        <v>179</v>
      </c>
      <c r="B11" s="12">
        <v>226900</v>
      </c>
      <c r="C11" s="12" t="s">
        <v>20</v>
      </c>
      <c r="D11" s="116">
        <f>'РОСПИСЬ на 31122016'!D11</f>
        <v>200</v>
      </c>
      <c r="E11" s="120">
        <v>45</v>
      </c>
      <c r="F11" s="120">
        <v>45</v>
      </c>
      <c r="G11" s="120">
        <v>0</v>
      </c>
      <c r="H11" s="119">
        <f>G11+E11</f>
        <v>45</v>
      </c>
      <c r="I11" s="35">
        <f t="shared" si="1"/>
        <v>23</v>
      </c>
      <c r="J11" s="35">
        <f>E11*100/H11</f>
        <v>100</v>
      </c>
    </row>
    <row r="12" spans="1:10" s="14" customFormat="1" ht="32.25" customHeight="1">
      <c r="A12" s="11" t="s">
        <v>180</v>
      </c>
      <c r="B12" s="12">
        <v>212101</v>
      </c>
      <c r="C12" s="12" t="s">
        <v>58</v>
      </c>
      <c r="D12" s="116">
        <f>'РОСПИСЬ на 31122016'!D12</f>
        <v>40</v>
      </c>
      <c r="E12" s="117">
        <v>11.7</v>
      </c>
      <c r="F12" s="117">
        <v>11.7</v>
      </c>
      <c r="G12" s="118">
        <v>0.3</v>
      </c>
      <c r="H12" s="119">
        <f>G12+E12</f>
        <v>12</v>
      </c>
      <c r="I12" s="35">
        <f t="shared" si="1"/>
        <v>29</v>
      </c>
      <c r="J12" s="35">
        <f>E12*100/H12</f>
        <v>98</v>
      </c>
    </row>
    <row r="13" spans="1:10" s="14" customFormat="1" ht="22.5" customHeight="1">
      <c r="A13" s="11" t="s">
        <v>180</v>
      </c>
      <c r="B13" s="12">
        <v>222102</v>
      </c>
      <c r="C13" s="12" t="s">
        <v>56</v>
      </c>
      <c r="D13" s="116">
        <f>'РОСПИСЬ на 31122016'!D13</f>
        <v>15</v>
      </c>
      <c r="E13" s="117">
        <v>11</v>
      </c>
      <c r="F13" s="117">
        <v>11</v>
      </c>
      <c r="G13" s="118">
        <v>0</v>
      </c>
      <c r="H13" s="119">
        <f>G13+E13</f>
        <v>11</v>
      </c>
      <c r="I13" s="35">
        <f t="shared" si="1"/>
        <v>73</v>
      </c>
      <c r="J13" s="35">
        <f>E13*100/H13</f>
        <v>100</v>
      </c>
    </row>
    <row r="14" spans="1:10" s="14" customFormat="1" ht="47.25">
      <c r="A14" s="11" t="s">
        <v>180</v>
      </c>
      <c r="B14" s="12">
        <v>212103</v>
      </c>
      <c r="C14" s="12" t="s">
        <v>57</v>
      </c>
      <c r="D14" s="116">
        <f>'РОСПИСЬ на 31122016'!D14</f>
        <v>125.7</v>
      </c>
      <c r="E14" s="117">
        <v>24.9</v>
      </c>
      <c r="F14" s="117">
        <v>24.9</v>
      </c>
      <c r="G14" s="118">
        <v>0</v>
      </c>
      <c r="H14" s="119">
        <f>G14+E14</f>
        <v>24.9</v>
      </c>
      <c r="I14" s="35">
        <f t="shared" si="1"/>
        <v>20</v>
      </c>
      <c r="J14" s="35">
        <f>E14*100/H14</f>
        <v>100</v>
      </c>
    </row>
    <row r="15" spans="1:10" s="14" customFormat="1" ht="47.25">
      <c r="A15" s="15"/>
      <c r="B15" s="9"/>
      <c r="C15" s="9" t="s">
        <v>112</v>
      </c>
      <c r="D15" s="115">
        <f>D16+D17+D18+D19</f>
        <v>113627.5</v>
      </c>
      <c r="E15" s="115">
        <f>E16+E17+E18+E19</f>
        <v>111973.2</v>
      </c>
      <c r="F15" s="115">
        <f>F16+F17+F18+F19</f>
        <v>111973.2</v>
      </c>
      <c r="G15" s="115">
        <f>G16+G17+G18+G19</f>
        <v>0</v>
      </c>
      <c r="H15" s="115">
        <f>H16+H17+H18+H19</f>
        <v>111973.2</v>
      </c>
      <c r="I15" s="62">
        <f>E15*100/D15</f>
        <v>99</v>
      </c>
      <c r="J15" s="62">
        <f t="shared" si="2"/>
        <v>100</v>
      </c>
    </row>
    <row r="16" spans="1:10" s="14" customFormat="1" ht="31.5">
      <c r="A16" s="11" t="s">
        <v>127</v>
      </c>
      <c r="B16" s="12">
        <v>226900</v>
      </c>
      <c r="C16" s="12" t="s">
        <v>30</v>
      </c>
      <c r="D16" s="116">
        <f>'РОСПИСЬ на 31122016'!D16</f>
        <v>50993.6</v>
      </c>
      <c r="E16" s="120">
        <v>49594</v>
      </c>
      <c r="F16" s="120">
        <v>49594</v>
      </c>
      <c r="G16" s="120"/>
      <c r="H16" s="119">
        <f aca="true" t="shared" si="3" ref="H16:H80">G16+E16</f>
        <v>49594</v>
      </c>
      <c r="I16" s="35">
        <f t="shared" si="1"/>
        <v>97</v>
      </c>
      <c r="J16" s="35">
        <f t="shared" si="2"/>
        <v>100</v>
      </c>
    </row>
    <row r="17" spans="1:10" s="14" customFormat="1" ht="15.75">
      <c r="A17" s="11" t="s">
        <v>128</v>
      </c>
      <c r="B17" s="12">
        <v>262200</v>
      </c>
      <c r="C17" s="12" t="s">
        <v>68</v>
      </c>
      <c r="D17" s="116">
        <f>'РОСПИСЬ на 31122016'!D17</f>
        <v>1500</v>
      </c>
      <c r="E17" s="117">
        <v>1305.1</v>
      </c>
      <c r="F17" s="117">
        <v>1305.1</v>
      </c>
      <c r="G17" s="118">
        <v>0</v>
      </c>
      <c r="H17" s="119">
        <f t="shared" si="3"/>
        <v>1305.1</v>
      </c>
      <c r="I17" s="35">
        <f t="shared" si="1"/>
        <v>87</v>
      </c>
      <c r="J17" s="35">
        <f t="shared" si="2"/>
        <v>100</v>
      </c>
    </row>
    <row r="18" spans="1:10" s="14" customFormat="1" ht="48.75" customHeight="1">
      <c r="A18" s="11" t="s">
        <v>126</v>
      </c>
      <c r="B18" s="12">
        <v>251000</v>
      </c>
      <c r="C18" s="12" t="s">
        <v>30</v>
      </c>
      <c r="D18" s="116">
        <f>'РОСПИСЬ на 31122016'!D18</f>
        <v>11831.4</v>
      </c>
      <c r="E18" s="117">
        <v>11771.6</v>
      </c>
      <c r="F18" s="117">
        <v>11771.6</v>
      </c>
      <c r="G18" s="118"/>
      <c r="H18" s="119">
        <f t="shared" si="3"/>
        <v>11771.6</v>
      </c>
      <c r="I18" s="35">
        <f t="shared" si="1"/>
        <v>99</v>
      </c>
      <c r="J18" s="35">
        <f t="shared" si="2"/>
        <v>100</v>
      </c>
    </row>
    <row r="19" spans="1:10" s="14" customFormat="1" ht="47.25">
      <c r="A19" s="11" t="s">
        <v>191</v>
      </c>
      <c r="B19" s="12">
        <v>226900</v>
      </c>
      <c r="C19" s="12" t="s">
        <v>226</v>
      </c>
      <c r="D19" s="116">
        <f>'РОСПИСЬ на 31122016'!D19</f>
        <v>49302.5</v>
      </c>
      <c r="E19" s="117">
        <v>49302.5</v>
      </c>
      <c r="F19" s="117">
        <v>49302.5</v>
      </c>
      <c r="G19" s="118">
        <v>0</v>
      </c>
      <c r="H19" s="119">
        <f t="shared" si="3"/>
        <v>49302.5</v>
      </c>
      <c r="I19" s="35">
        <f t="shared" si="1"/>
        <v>100</v>
      </c>
      <c r="J19" s="35">
        <f t="shared" si="2"/>
        <v>100</v>
      </c>
    </row>
    <row r="20" spans="1:10" s="14" customFormat="1" ht="15.75">
      <c r="A20" s="2" t="s">
        <v>92</v>
      </c>
      <c r="B20" s="33"/>
      <c r="C20" s="1" t="s">
        <v>93</v>
      </c>
      <c r="D20" s="115">
        <f>D21+D24+D47+D57+D109</f>
        <v>4521676.6</v>
      </c>
      <c r="E20" s="115">
        <f>E21+E24+E47+E57+E109</f>
        <v>4377063.5</v>
      </c>
      <c r="F20" s="115">
        <f>F21+F24+F47+F57+F109</f>
        <v>4377063.5</v>
      </c>
      <c r="G20" s="115">
        <f>G21+G24+G47+G57+G109</f>
        <v>58931.9</v>
      </c>
      <c r="H20" s="115">
        <f>H21+H24+H47+H57+H109</f>
        <v>4435764.9</v>
      </c>
      <c r="I20" s="62">
        <f t="shared" si="1"/>
        <v>97</v>
      </c>
      <c r="J20" s="62">
        <f t="shared" si="2"/>
        <v>99</v>
      </c>
    </row>
    <row r="21" spans="1:10" s="14" customFormat="1" ht="47.25">
      <c r="A21" s="16" t="s">
        <v>62</v>
      </c>
      <c r="B21" s="16"/>
      <c r="C21" s="17" t="s">
        <v>21</v>
      </c>
      <c r="D21" s="121">
        <f>SUM(D22:D23)</f>
        <v>284443.1</v>
      </c>
      <c r="E21" s="121">
        <f>SUM(E22:E23)</f>
        <v>284117.9</v>
      </c>
      <c r="F21" s="121">
        <f>SUM(F22:F23)</f>
        <v>284117.9</v>
      </c>
      <c r="G21" s="121">
        <f>SUM(G22:G23)</f>
        <v>0</v>
      </c>
      <c r="H21" s="121">
        <f>SUM(H22:H23)</f>
        <v>284117.9</v>
      </c>
      <c r="I21" s="62">
        <f t="shared" si="1"/>
        <v>100</v>
      </c>
      <c r="J21" s="62">
        <f t="shared" si="2"/>
        <v>100</v>
      </c>
    </row>
    <row r="22" spans="1:10" s="14" customFormat="1" ht="47.25">
      <c r="A22" s="19" t="s">
        <v>129</v>
      </c>
      <c r="B22" s="19" t="s">
        <v>44</v>
      </c>
      <c r="C22" s="20" t="s">
        <v>63</v>
      </c>
      <c r="D22" s="116">
        <f>'РОСПИСЬ на 31122016'!D22</f>
        <v>170776.7</v>
      </c>
      <c r="E22" s="122">
        <v>170736.2</v>
      </c>
      <c r="F22" s="117">
        <v>170736.2</v>
      </c>
      <c r="G22" s="118">
        <v>0</v>
      </c>
      <c r="H22" s="119">
        <f t="shared" si="3"/>
        <v>170736.2</v>
      </c>
      <c r="I22" s="35">
        <f t="shared" si="1"/>
        <v>100</v>
      </c>
      <c r="J22" s="35">
        <f t="shared" si="2"/>
        <v>100</v>
      </c>
    </row>
    <row r="23" spans="1:10" s="14" customFormat="1" ht="50.25" customHeight="1">
      <c r="A23" s="19" t="s">
        <v>130</v>
      </c>
      <c r="B23" s="19" t="s">
        <v>44</v>
      </c>
      <c r="C23" s="20" t="s">
        <v>64</v>
      </c>
      <c r="D23" s="116">
        <f>'РОСПИСЬ на 31122016'!D23</f>
        <v>113666.4</v>
      </c>
      <c r="E23" s="122">
        <v>113381.7</v>
      </c>
      <c r="F23" s="120">
        <v>113381.7</v>
      </c>
      <c r="G23" s="123">
        <v>0</v>
      </c>
      <c r="H23" s="119">
        <f t="shared" si="3"/>
        <v>113381.7</v>
      </c>
      <c r="I23" s="35">
        <f t="shared" si="1"/>
        <v>100</v>
      </c>
      <c r="J23" s="35">
        <f t="shared" si="2"/>
        <v>100</v>
      </c>
    </row>
    <row r="24" spans="1:10" s="18" customFormat="1" ht="15.75">
      <c r="A24" s="16" t="s">
        <v>71</v>
      </c>
      <c r="B24" s="16"/>
      <c r="C24" s="17" t="s">
        <v>72</v>
      </c>
      <c r="D24" s="115">
        <f>D25+D36</f>
        <v>872194.3</v>
      </c>
      <c r="E24" s="115">
        <f>E25+E36</f>
        <v>781397</v>
      </c>
      <c r="F24" s="115">
        <f>F25+F36</f>
        <v>781397</v>
      </c>
      <c r="G24" s="115">
        <f>G25+G36</f>
        <v>42736.5</v>
      </c>
      <c r="H24" s="115">
        <f>H25+H36</f>
        <v>824133.5</v>
      </c>
      <c r="I24" s="62">
        <f t="shared" si="1"/>
        <v>90</v>
      </c>
      <c r="J24" s="62">
        <f t="shared" si="2"/>
        <v>95</v>
      </c>
    </row>
    <row r="25" spans="1:10" s="18" customFormat="1" ht="31.5">
      <c r="A25" s="16" t="s">
        <v>131</v>
      </c>
      <c r="B25" s="16"/>
      <c r="C25" s="3" t="s">
        <v>73</v>
      </c>
      <c r="D25" s="115">
        <f>D26+D34+D35</f>
        <v>294410</v>
      </c>
      <c r="E25" s="115">
        <f>E26+E34+E35</f>
        <v>253325.7</v>
      </c>
      <c r="F25" s="115">
        <f>F26+F34+F35</f>
        <v>253325.7</v>
      </c>
      <c r="G25" s="115">
        <f>G26+G34+G35</f>
        <v>22314.4</v>
      </c>
      <c r="H25" s="115">
        <f>H26+H34+H35</f>
        <v>275640.1</v>
      </c>
      <c r="I25" s="62">
        <f t="shared" si="1"/>
        <v>86</v>
      </c>
      <c r="J25" s="62">
        <f t="shared" si="2"/>
        <v>92</v>
      </c>
    </row>
    <row r="26" spans="1:10" s="18" customFormat="1" ht="31.5">
      <c r="A26" s="44"/>
      <c r="B26" s="44"/>
      <c r="C26" s="42" t="s">
        <v>74</v>
      </c>
      <c r="D26" s="123">
        <f>D27+D28+D29+D30+D31+D32+D33</f>
        <v>211775.9</v>
      </c>
      <c r="E26" s="123">
        <f>E27+E28+E29+E30+E31+E32+E33</f>
        <v>201471.7</v>
      </c>
      <c r="F26" s="123">
        <f>F27+F28+F29+F30+F31+F32+F33</f>
        <v>201471.7</v>
      </c>
      <c r="G26" s="123">
        <f>G27+G28+G29+G30+G31+G32+G33</f>
        <v>5962.5</v>
      </c>
      <c r="H26" s="123">
        <f>H27+H28+H29+H30+H31+H32+H33</f>
        <v>207434.2</v>
      </c>
      <c r="I26" s="35">
        <f t="shared" si="1"/>
        <v>95</v>
      </c>
      <c r="J26" s="35">
        <f t="shared" si="2"/>
        <v>97</v>
      </c>
    </row>
    <row r="27" spans="1:10" s="18" customFormat="1" ht="15.75">
      <c r="A27" s="38" t="s">
        <v>132</v>
      </c>
      <c r="B27" s="41" t="s">
        <v>75</v>
      </c>
      <c r="C27" s="39" t="s">
        <v>227</v>
      </c>
      <c r="D27" s="116">
        <f>'РОСПИСЬ на 31122016'!D27</f>
        <v>159285.6</v>
      </c>
      <c r="E27" s="120">
        <v>159136.7</v>
      </c>
      <c r="F27" s="120">
        <v>159136.7</v>
      </c>
      <c r="G27" s="120">
        <v>7.6</v>
      </c>
      <c r="H27" s="119">
        <f t="shared" si="3"/>
        <v>159144.3</v>
      </c>
      <c r="I27" s="35">
        <f t="shared" si="1"/>
        <v>100</v>
      </c>
      <c r="J27" s="35">
        <f t="shared" si="2"/>
        <v>100</v>
      </c>
    </row>
    <row r="28" spans="1:10" s="18" customFormat="1" ht="15.75">
      <c r="A28" s="38"/>
      <c r="B28" s="41" t="s">
        <v>31</v>
      </c>
      <c r="C28" s="39" t="s">
        <v>76</v>
      </c>
      <c r="D28" s="116">
        <f>'РОСПИСЬ на 31122016'!D28</f>
        <v>512.2</v>
      </c>
      <c r="E28" s="120">
        <v>317.5</v>
      </c>
      <c r="F28" s="120">
        <v>317.5</v>
      </c>
      <c r="G28" s="123">
        <v>63.7</v>
      </c>
      <c r="H28" s="119">
        <f t="shared" si="3"/>
        <v>381.2</v>
      </c>
      <c r="I28" s="35">
        <f t="shared" si="1"/>
        <v>62</v>
      </c>
      <c r="J28" s="35">
        <f t="shared" si="2"/>
        <v>83</v>
      </c>
    </row>
    <row r="29" spans="1:10" s="18" customFormat="1" ht="15.75">
      <c r="A29" s="38"/>
      <c r="B29" s="41" t="s">
        <v>77</v>
      </c>
      <c r="C29" s="39" t="s">
        <v>78</v>
      </c>
      <c r="D29" s="116">
        <f>'РОСПИСЬ на 31122016'!D29</f>
        <v>22360.3</v>
      </c>
      <c r="E29" s="120">
        <v>16296.3</v>
      </c>
      <c r="F29" s="120">
        <v>16296.3</v>
      </c>
      <c r="G29" s="123">
        <v>2723.5</v>
      </c>
      <c r="H29" s="119">
        <f t="shared" si="3"/>
        <v>19019.8</v>
      </c>
      <c r="I29" s="35">
        <f t="shared" si="1"/>
        <v>73</v>
      </c>
      <c r="J29" s="35">
        <f t="shared" si="2"/>
        <v>86</v>
      </c>
    </row>
    <row r="30" spans="1:10" s="18" customFormat="1" ht="15.75">
      <c r="A30" s="38"/>
      <c r="B30" s="41" t="s">
        <v>79</v>
      </c>
      <c r="C30" s="39" t="s">
        <v>80</v>
      </c>
      <c r="D30" s="116">
        <f>'РОСПИСЬ на 31122016'!D30</f>
        <v>17769.4</v>
      </c>
      <c r="E30" s="117">
        <v>15462.6</v>
      </c>
      <c r="F30" s="117">
        <v>15462.6</v>
      </c>
      <c r="G30" s="117">
        <v>2196.4</v>
      </c>
      <c r="H30" s="119">
        <f t="shared" si="3"/>
        <v>17659</v>
      </c>
      <c r="I30" s="35">
        <f t="shared" si="1"/>
        <v>87</v>
      </c>
      <c r="J30" s="35">
        <f t="shared" si="2"/>
        <v>88</v>
      </c>
    </row>
    <row r="31" spans="1:14" s="18" customFormat="1" ht="15.75">
      <c r="A31" s="38"/>
      <c r="B31" s="41" t="s">
        <v>81</v>
      </c>
      <c r="C31" s="39" t="s">
        <v>82</v>
      </c>
      <c r="D31" s="116">
        <f>'РОСПИСЬ на 31122016'!D31</f>
        <v>711.1</v>
      </c>
      <c r="E31" s="117">
        <v>354.9</v>
      </c>
      <c r="F31" s="117">
        <v>354.9</v>
      </c>
      <c r="G31" s="117">
        <v>381</v>
      </c>
      <c r="H31" s="119">
        <f t="shared" si="3"/>
        <v>735.9</v>
      </c>
      <c r="I31" s="35">
        <f t="shared" si="1"/>
        <v>50</v>
      </c>
      <c r="J31" s="35">
        <f t="shared" si="2"/>
        <v>48</v>
      </c>
      <c r="M31" s="154"/>
      <c r="N31" s="154"/>
    </row>
    <row r="32" spans="1:10" s="18" customFormat="1" ht="15.75">
      <c r="A32" s="38"/>
      <c r="B32" s="41" t="s">
        <v>83</v>
      </c>
      <c r="C32" s="39" t="s">
        <v>84</v>
      </c>
      <c r="D32" s="116">
        <f>'РОСПИСЬ на 31122016'!D32</f>
        <v>8862.2</v>
      </c>
      <c r="E32" s="117">
        <v>8299.1</v>
      </c>
      <c r="F32" s="117">
        <v>8299.1</v>
      </c>
      <c r="G32" s="117">
        <v>33.7</v>
      </c>
      <c r="H32" s="119">
        <f t="shared" si="3"/>
        <v>8332.8</v>
      </c>
      <c r="I32" s="35">
        <f t="shared" si="1"/>
        <v>94</v>
      </c>
      <c r="J32" s="35">
        <f t="shared" si="2"/>
        <v>100</v>
      </c>
    </row>
    <row r="33" spans="1:10" s="18" customFormat="1" ht="15.75">
      <c r="A33" s="38"/>
      <c r="B33" s="41"/>
      <c r="C33" s="39" t="s">
        <v>85</v>
      </c>
      <c r="D33" s="116">
        <f>'РОСПИСЬ на 31122016'!D33</f>
        <v>2275.1</v>
      </c>
      <c r="E33" s="117">
        <v>1604.6</v>
      </c>
      <c r="F33" s="117">
        <v>1604.6</v>
      </c>
      <c r="G33" s="117">
        <v>556.6</v>
      </c>
      <c r="H33" s="119">
        <f t="shared" si="3"/>
        <v>2161.2</v>
      </c>
      <c r="I33" s="35">
        <f t="shared" si="1"/>
        <v>71</v>
      </c>
      <c r="J33" s="35">
        <f t="shared" si="2"/>
        <v>74</v>
      </c>
    </row>
    <row r="34" spans="1:10" s="18" customFormat="1" ht="15.75">
      <c r="A34" s="27" t="s">
        <v>133</v>
      </c>
      <c r="B34" s="27"/>
      <c r="C34" s="28" t="s">
        <v>87</v>
      </c>
      <c r="D34" s="116">
        <f>'РОСПИСЬ на 31122016'!D34</f>
        <v>965.5</v>
      </c>
      <c r="E34" s="117">
        <v>0</v>
      </c>
      <c r="F34" s="117">
        <v>0</v>
      </c>
      <c r="G34" s="117">
        <v>0</v>
      </c>
      <c r="H34" s="119">
        <f t="shared" si="3"/>
        <v>0</v>
      </c>
      <c r="I34" s="35">
        <f t="shared" si="1"/>
        <v>0</v>
      </c>
      <c r="J34" s="35">
        <v>0</v>
      </c>
    </row>
    <row r="35" spans="1:14" s="18" customFormat="1" ht="31.5">
      <c r="A35" s="27" t="s">
        <v>134</v>
      </c>
      <c r="B35" s="27"/>
      <c r="C35" s="28" t="s">
        <v>88</v>
      </c>
      <c r="D35" s="116">
        <f>'РОСПИСЬ на 31122016'!D35</f>
        <v>81668.6</v>
      </c>
      <c r="E35" s="117">
        <v>51854</v>
      </c>
      <c r="F35" s="117">
        <v>51854</v>
      </c>
      <c r="G35" s="124">
        <v>16351.9</v>
      </c>
      <c r="H35" s="119">
        <f>G35+E35</f>
        <v>68205.9</v>
      </c>
      <c r="I35" s="35">
        <f t="shared" si="1"/>
        <v>63</v>
      </c>
      <c r="J35" s="35">
        <f t="shared" si="2"/>
        <v>76</v>
      </c>
      <c r="L35" s="94"/>
      <c r="M35" s="154"/>
      <c r="N35" s="154"/>
    </row>
    <row r="36" spans="1:14" s="18" customFormat="1" ht="31.5">
      <c r="A36" s="44" t="s">
        <v>131</v>
      </c>
      <c r="B36" s="44"/>
      <c r="C36" s="28" t="s">
        <v>89</v>
      </c>
      <c r="D36" s="115">
        <f>D37+D45+D46</f>
        <v>577784.3</v>
      </c>
      <c r="E36" s="115">
        <f>E37+E45+E46</f>
        <v>528071.3</v>
      </c>
      <c r="F36" s="115">
        <f>F37+F45+F46</f>
        <v>528071.3</v>
      </c>
      <c r="G36" s="115">
        <f>G37+G45+G46</f>
        <v>20422.1</v>
      </c>
      <c r="H36" s="115">
        <f>H37+H45+H46</f>
        <v>548493.4</v>
      </c>
      <c r="I36" s="62">
        <f t="shared" si="1"/>
        <v>91</v>
      </c>
      <c r="J36" s="62">
        <f t="shared" si="2"/>
        <v>96</v>
      </c>
      <c r="M36" s="154"/>
      <c r="N36" s="154"/>
    </row>
    <row r="37" spans="1:10" s="18" customFormat="1" ht="31.5">
      <c r="A37" s="44"/>
      <c r="B37" s="44"/>
      <c r="C37" s="42" t="s">
        <v>74</v>
      </c>
      <c r="D37" s="123">
        <f>D38+D39+D40+D41+D42+D43+D44</f>
        <v>533682.1</v>
      </c>
      <c r="E37" s="123">
        <f>E38+E39+E40+E41+E42+E43+E44</f>
        <v>506341.8</v>
      </c>
      <c r="F37" s="123">
        <f>F38+F39+F40+F41+F42+F43+F44</f>
        <v>506341.8</v>
      </c>
      <c r="G37" s="123">
        <f>G38+G39+G40+G41+G42+G43+G44</f>
        <v>15577.9</v>
      </c>
      <c r="H37" s="123">
        <f>H38+H39+H40+H41+H42+H43+H44</f>
        <v>521919.7</v>
      </c>
      <c r="I37" s="35">
        <f t="shared" si="1"/>
        <v>95</v>
      </c>
      <c r="J37" s="35">
        <f t="shared" si="2"/>
        <v>97</v>
      </c>
    </row>
    <row r="38" spans="1:10" s="18" customFormat="1" ht="15.75">
      <c r="A38" s="48" t="s">
        <v>132</v>
      </c>
      <c r="B38" s="41" t="s">
        <v>75</v>
      </c>
      <c r="C38" s="39" t="s">
        <v>90</v>
      </c>
      <c r="D38" s="116">
        <f>'РОСПИСЬ на 31122016'!D38</f>
        <v>440427.9</v>
      </c>
      <c r="E38" s="120">
        <v>438795.1</v>
      </c>
      <c r="F38" s="120">
        <v>438795.1</v>
      </c>
      <c r="G38" s="123">
        <v>423.9</v>
      </c>
      <c r="H38" s="119">
        <f t="shared" si="3"/>
        <v>439219</v>
      </c>
      <c r="I38" s="35">
        <f t="shared" si="1"/>
        <v>100</v>
      </c>
      <c r="J38" s="35">
        <f t="shared" si="2"/>
        <v>100</v>
      </c>
    </row>
    <row r="39" spans="1:10" s="18" customFormat="1" ht="15.75">
      <c r="A39" s="44"/>
      <c r="B39" s="41" t="s">
        <v>31</v>
      </c>
      <c r="C39" s="39" t="s">
        <v>76</v>
      </c>
      <c r="D39" s="116">
        <f>'РОСПИСЬ на 31122016'!D39</f>
        <v>2174.6</v>
      </c>
      <c r="E39" s="120">
        <v>1743.3</v>
      </c>
      <c r="F39" s="120">
        <v>1743.3</v>
      </c>
      <c r="G39" s="120">
        <v>161.4</v>
      </c>
      <c r="H39" s="119">
        <f t="shared" si="3"/>
        <v>1904.7</v>
      </c>
      <c r="I39" s="35">
        <f t="shared" si="1"/>
        <v>80</v>
      </c>
      <c r="J39" s="35">
        <f t="shared" si="2"/>
        <v>92</v>
      </c>
    </row>
    <row r="40" spans="1:10" s="18" customFormat="1" ht="15.75">
      <c r="A40" s="44"/>
      <c r="B40" s="41" t="s">
        <v>77</v>
      </c>
      <c r="C40" s="39" t="s">
        <v>78</v>
      </c>
      <c r="D40" s="116">
        <f>'РОСПИСЬ на 31122016'!D40</f>
        <v>20487</v>
      </c>
      <c r="E40" s="117">
        <v>13131.5</v>
      </c>
      <c r="F40" s="117">
        <v>13131.5</v>
      </c>
      <c r="G40" s="123">
        <v>2982.1</v>
      </c>
      <c r="H40" s="119">
        <f t="shared" si="3"/>
        <v>16113.6</v>
      </c>
      <c r="I40" s="35">
        <f t="shared" si="1"/>
        <v>64</v>
      </c>
      <c r="J40" s="35">
        <f t="shared" si="2"/>
        <v>81</v>
      </c>
    </row>
    <row r="41" spans="1:10" s="43" customFormat="1" ht="15.75">
      <c r="A41" s="44"/>
      <c r="B41" s="41" t="s">
        <v>79</v>
      </c>
      <c r="C41" s="39" t="s">
        <v>80</v>
      </c>
      <c r="D41" s="116">
        <f>'РОСПИСЬ на 31122016'!D41</f>
        <v>36729.1</v>
      </c>
      <c r="E41" s="117">
        <v>31080.7</v>
      </c>
      <c r="F41" s="117">
        <v>31080.7</v>
      </c>
      <c r="G41" s="123">
        <v>4638.7</v>
      </c>
      <c r="H41" s="125">
        <f t="shared" si="3"/>
        <v>35719.4</v>
      </c>
      <c r="I41" s="35">
        <f t="shared" si="1"/>
        <v>85</v>
      </c>
      <c r="J41" s="35">
        <f t="shared" si="2"/>
        <v>87</v>
      </c>
    </row>
    <row r="42" spans="1:14" s="18" customFormat="1" ht="15.75">
      <c r="A42" s="44"/>
      <c r="B42" s="41" t="s">
        <v>81</v>
      </c>
      <c r="C42" s="39" t="s">
        <v>82</v>
      </c>
      <c r="D42" s="116">
        <f>'РОСПИСЬ на 31122016'!D42</f>
        <v>3836.6</v>
      </c>
      <c r="E42" s="117">
        <v>2648.2</v>
      </c>
      <c r="F42" s="117">
        <v>2648.2</v>
      </c>
      <c r="G42" s="117">
        <v>837.4</v>
      </c>
      <c r="H42" s="119">
        <f t="shared" si="3"/>
        <v>3485.6</v>
      </c>
      <c r="I42" s="35">
        <f t="shared" si="1"/>
        <v>69</v>
      </c>
      <c r="J42" s="35">
        <f t="shared" si="2"/>
        <v>76</v>
      </c>
      <c r="N42" s="166"/>
    </row>
    <row r="43" spans="1:10" s="18" customFormat="1" ht="15.75">
      <c r="A43" s="44"/>
      <c r="B43" s="41" t="s">
        <v>83</v>
      </c>
      <c r="C43" s="39" t="s">
        <v>84</v>
      </c>
      <c r="D43" s="116">
        <f>'РОСПИСЬ на 31122016'!D43</f>
        <v>8802.6</v>
      </c>
      <c r="E43" s="117">
        <v>7419.3</v>
      </c>
      <c r="F43" s="117">
        <v>7419.3</v>
      </c>
      <c r="G43" s="117">
        <v>17.9</v>
      </c>
      <c r="H43" s="119">
        <f>G43+E43</f>
        <v>7437.2</v>
      </c>
      <c r="I43" s="35">
        <f t="shared" si="1"/>
        <v>84</v>
      </c>
      <c r="J43" s="35">
        <f t="shared" si="2"/>
        <v>100</v>
      </c>
    </row>
    <row r="44" spans="1:10" s="18" customFormat="1" ht="15.75">
      <c r="A44" s="44"/>
      <c r="B44" s="41"/>
      <c r="C44" s="39" t="s">
        <v>85</v>
      </c>
      <c r="D44" s="116">
        <f>'РОСПИСЬ на 31122016'!D44</f>
        <v>21224.3</v>
      </c>
      <c r="E44" s="117">
        <v>11523.7</v>
      </c>
      <c r="F44" s="117">
        <v>11523.7</v>
      </c>
      <c r="G44" s="117">
        <v>6516.5</v>
      </c>
      <c r="H44" s="119">
        <f t="shared" si="3"/>
        <v>18040.2</v>
      </c>
      <c r="I44" s="35">
        <f t="shared" si="1"/>
        <v>54</v>
      </c>
      <c r="J44" s="35">
        <f t="shared" si="2"/>
        <v>64</v>
      </c>
    </row>
    <row r="45" spans="1:10" s="18" customFormat="1" ht="15.75">
      <c r="A45" s="27" t="s">
        <v>133</v>
      </c>
      <c r="B45" s="27"/>
      <c r="C45" s="28" t="s">
        <v>87</v>
      </c>
      <c r="D45" s="116">
        <f>'РОСПИСЬ на 31122016'!D45</f>
        <v>36552</v>
      </c>
      <c r="E45" s="117">
        <v>18032</v>
      </c>
      <c r="F45" s="117">
        <v>18032</v>
      </c>
      <c r="G45" s="117">
        <v>2054</v>
      </c>
      <c r="H45" s="119">
        <f t="shared" si="3"/>
        <v>20086</v>
      </c>
      <c r="I45" s="35">
        <f t="shared" si="1"/>
        <v>49</v>
      </c>
      <c r="J45" s="35">
        <f t="shared" si="2"/>
        <v>90</v>
      </c>
    </row>
    <row r="46" spans="1:10" s="18" customFormat="1" ht="31.5">
      <c r="A46" s="27" t="s">
        <v>133</v>
      </c>
      <c r="B46" s="27"/>
      <c r="C46" s="28" t="s">
        <v>88</v>
      </c>
      <c r="D46" s="116">
        <f>'РОСПИСЬ на 31122016'!D46</f>
        <v>7550.2</v>
      </c>
      <c r="E46" s="117">
        <v>3697.5</v>
      </c>
      <c r="F46" s="117">
        <v>3697.5</v>
      </c>
      <c r="G46" s="117">
        <v>2790.2</v>
      </c>
      <c r="H46" s="119">
        <f t="shared" si="3"/>
        <v>6487.7</v>
      </c>
      <c r="I46" s="35">
        <f t="shared" si="1"/>
        <v>49</v>
      </c>
      <c r="J46" s="35">
        <f t="shared" si="2"/>
        <v>57</v>
      </c>
    </row>
    <row r="47" spans="1:13" s="18" customFormat="1" ht="47.25">
      <c r="A47" s="27" t="s">
        <v>136</v>
      </c>
      <c r="B47" s="27"/>
      <c r="C47" s="28" t="s">
        <v>106</v>
      </c>
      <c r="D47" s="96">
        <f>D48+D55+D56</f>
        <v>136522.7</v>
      </c>
      <c r="E47" s="96">
        <f>E48+E55+E56</f>
        <v>121949.9</v>
      </c>
      <c r="F47" s="96">
        <f>F48+F55+F56</f>
        <v>121949.9</v>
      </c>
      <c r="G47" s="96">
        <f>G48+G55+G56</f>
        <v>11450.9</v>
      </c>
      <c r="H47" s="96">
        <f>H48+H55+H56</f>
        <v>133400.8</v>
      </c>
      <c r="I47" s="62">
        <f t="shared" si="1"/>
        <v>89</v>
      </c>
      <c r="J47" s="62">
        <f t="shared" si="2"/>
        <v>91</v>
      </c>
      <c r="M47" s="154"/>
    </row>
    <row r="48" spans="1:10" s="18" customFormat="1" ht="47.25">
      <c r="A48" s="27" t="s">
        <v>137</v>
      </c>
      <c r="B48" s="27"/>
      <c r="C48" s="28" t="s">
        <v>111</v>
      </c>
      <c r="D48" s="96">
        <f>D49+D50+D51+D52+D53+D54</f>
        <v>123029.8</v>
      </c>
      <c r="E48" s="96">
        <f>E49+E50+E51+E52+E53+E54</f>
        <v>115272</v>
      </c>
      <c r="F48" s="96">
        <f>F49+F50+F51+F52+F53+F54</f>
        <v>115272</v>
      </c>
      <c r="G48" s="96">
        <f>G49+G50+G51+G52+G53+G54</f>
        <v>4862</v>
      </c>
      <c r="H48" s="96">
        <f>H49+H50+H51+H52+H53+H54</f>
        <v>120134</v>
      </c>
      <c r="I48" s="62">
        <f t="shared" si="1"/>
        <v>94</v>
      </c>
      <c r="J48" s="62">
        <f t="shared" si="2"/>
        <v>96</v>
      </c>
    </row>
    <row r="49" spans="1:10" ht="15.75">
      <c r="A49" s="59"/>
      <c r="B49" s="41" t="s">
        <v>75</v>
      </c>
      <c r="C49" s="39" t="s">
        <v>228</v>
      </c>
      <c r="D49" s="116">
        <f>'РОСПИСЬ на 31122016'!D49</f>
        <v>97008.9</v>
      </c>
      <c r="E49" s="123">
        <v>96661.9</v>
      </c>
      <c r="F49" s="123">
        <v>96661.9</v>
      </c>
      <c r="G49" s="123">
        <v>0.3</v>
      </c>
      <c r="H49" s="119">
        <f t="shared" si="3"/>
        <v>96662.2</v>
      </c>
      <c r="I49" s="35">
        <f t="shared" si="1"/>
        <v>100</v>
      </c>
      <c r="J49" s="35">
        <f t="shared" si="2"/>
        <v>100</v>
      </c>
    </row>
    <row r="50" spans="1:10" ht="15.75">
      <c r="A50" s="27"/>
      <c r="B50" s="41" t="s">
        <v>31</v>
      </c>
      <c r="C50" s="39" t="s">
        <v>76</v>
      </c>
      <c r="D50" s="116">
        <f>'РОСПИСЬ на 31122016'!D50</f>
        <v>2940.9</v>
      </c>
      <c r="E50" s="123">
        <v>2645.4</v>
      </c>
      <c r="F50" s="123">
        <v>2645.4</v>
      </c>
      <c r="G50" s="123">
        <v>202</v>
      </c>
      <c r="H50" s="119">
        <f t="shared" si="3"/>
        <v>2847.4</v>
      </c>
      <c r="I50" s="35">
        <f t="shared" si="1"/>
        <v>90</v>
      </c>
      <c r="J50" s="35">
        <f t="shared" si="2"/>
        <v>93</v>
      </c>
    </row>
    <row r="51" spans="1:10" ht="15.75">
      <c r="A51" s="27"/>
      <c r="B51" s="41" t="s">
        <v>77</v>
      </c>
      <c r="C51" s="39" t="s">
        <v>78</v>
      </c>
      <c r="D51" s="116">
        <f>'РОСПИСЬ на 31122016'!D51</f>
        <v>4163.1</v>
      </c>
      <c r="E51" s="120">
        <v>2839.7</v>
      </c>
      <c r="F51" s="120">
        <v>2839.7</v>
      </c>
      <c r="G51" s="123">
        <v>459.8</v>
      </c>
      <c r="H51" s="119">
        <f t="shared" si="3"/>
        <v>3299.5</v>
      </c>
      <c r="I51" s="35">
        <f t="shared" si="1"/>
        <v>68</v>
      </c>
      <c r="J51" s="35">
        <f t="shared" si="2"/>
        <v>86</v>
      </c>
    </row>
    <row r="52" spans="1:10" s="26" customFormat="1" ht="31.5">
      <c r="A52" s="27"/>
      <c r="B52" s="41" t="s">
        <v>107</v>
      </c>
      <c r="C52" s="42" t="s">
        <v>108</v>
      </c>
      <c r="D52" s="116">
        <f>'РОСПИСЬ на 31122016'!D52</f>
        <v>857.7</v>
      </c>
      <c r="E52" s="120">
        <v>405.3</v>
      </c>
      <c r="F52" s="120">
        <v>405.3</v>
      </c>
      <c r="G52" s="123">
        <v>410.7</v>
      </c>
      <c r="H52" s="119">
        <f t="shared" si="3"/>
        <v>816</v>
      </c>
      <c r="I52" s="35">
        <f t="shared" si="1"/>
        <v>47</v>
      </c>
      <c r="J52" s="35">
        <f t="shared" si="2"/>
        <v>50</v>
      </c>
    </row>
    <row r="53" spans="1:10" ht="15.75">
      <c r="A53" s="27"/>
      <c r="B53" s="41" t="s">
        <v>83</v>
      </c>
      <c r="C53" s="39" t="s">
        <v>84</v>
      </c>
      <c r="D53" s="116">
        <f>'РОСПИСЬ на 31122016'!D53</f>
        <v>1255.1</v>
      </c>
      <c r="E53" s="120">
        <v>1137.6</v>
      </c>
      <c r="F53" s="120">
        <v>1137.6</v>
      </c>
      <c r="G53" s="120">
        <v>211.8</v>
      </c>
      <c r="H53" s="119">
        <f t="shared" si="3"/>
        <v>1349.4</v>
      </c>
      <c r="I53" s="35">
        <f t="shared" si="1"/>
        <v>91</v>
      </c>
      <c r="J53" s="35">
        <f t="shared" si="2"/>
        <v>84</v>
      </c>
    </row>
    <row r="54" spans="1:10" s="24" customFormat="1" ht="15.75">
      <c r="A54" s="27"/>
      <c r="B54" s="41"/>
      <c r="C54" s="39" t="s">
        <v>85</v>
      </c>
      <c r="D54" s="116">
        <f>'РОСПИСЬ на 31122016'!D54</f>
        <v>16804.1</v>
      </c>
      <c r="E54" s="120">
        <v>11582.1</v>
      </c>
      <c r="F54" s="120">
        <v>11582.1</v>
      </c>
      <c r="G54" s="120">
        <v>3577.4</v>
      </c>
      <c r="H54" s="119">
        <f t="shared" si="3"/>
        <v>15159.5</v>
      </c>
      <c r="I54" s="35">
        <f t="shared" si="1"/>
        <v>69</v>
      </c>
      <c r="J54" s="35">
        <f t="shared" si="2"/>
        <v>76</v>
      </c>
    </row>
    <row r="55" spans="1:13" s="24" customFormat="1" ht="63">
      <c r="A55" s="52" t="s">
        <v>208</v>
      </c>
      <c r="B55" s="27"/>
      <c r="C55" s="28" t="s">
        <v>109</v>
      </c>
      <c r="D55" s="116">
        <f>'РОСПИСЬ на 31122016'!D55</f>
        <v>12160.6</v>
      </c>
      <c r="E55" s="120">
        <v>5396.5</v>
      </c>
      <c r="F55" s="120">
        <v>5396.5</v>
      </c>
      <c r="G55" s="119">
        <v>6588.9</v>
      </c>
      <c r="H55" s="119">
        <f t="shared" si="3"/>
        <v>11985.4</v>
      </c>
      <c r="I55" s="35">
        <f t="shared" si="1"/>
        <v>44</v>
      </c>
      <c r="J55" s="35">
        <f t="shared" si="2"/>
        <v>45</v>
      </c>
      <c r="L55" s="167"/>
      <c r="M55" s="167"/>
    </row>
    <row r="56" spans="1:10" s="24" customFormat="1" ht="52.5" customHeight="1">
      <c r="A56" s="52" t="s">
        <v>187</v>
      </c>
      <c r="B56" s="27" t="s">
        <v>185</v>
      </c>
      <c r="C56" s="28" t="s">
        <v>186</v>
      </c>
      <c r="D56" s="116">
        <f>'РОСПИСЬ на 31122016'!D56</f>
        <v>1332.3</v>
      </c>
      <c r="E56" s="120">
        <v>1281.4</v>
      </c>
      <c r="F56" s="120">
        <v>1281.4</v>
      </c>
      <c r="G56" s="119">
        <v>0</v>
      </c>
      <c r="H56" s="119">
        <f t="shared" si="3"/>
        <v>1281.4</v>
      </c>
      <c r="I56" s="35">
        <f t="shared" si="1"/>
        <v>96</v>
      </c>
      <c r="J56" s="35">
        <f t="shared" si="2"/>
        <v>100</v>
      </c>
    </row>
    <row r="57" spans="1:10" s="29" customFormat="1" ht="15.75">
      <c r="A57" s="44" t="s">
        <v>174</v>
      </c>
      <c r="B57" s="44"/>
      <c r="C57" s="45" t="s">
        <v>9</v>
      </c>
      <c r="D57" s="96">
        <f>D58+D93+D100+D107</f>
        <v>3097919</v>
      </c>
      <c r="E57" s="96">
        <f>E58+E93+E100+E107</f>
        <v>3069107.4</v>
      </c>
      <c r="F57" s="96">
        <f>F58+F93+F100+F107</f>
        <v>3069107.4</v>
      </c>
      <c r="G57" s="96">
        <f>G58+G93+G100+G107</f>
        <v>2265</v>
      </c>
      <c r="H57" s="96">
        <f>H58+H93+H100+H107</f>
        <v>3071372.4</v>
      </c>
      <c r="I57" s="62">
        <f t="shared" si="1"/>
        <v>99</v>
      </c>
      <c r="J57" s="62">
        <f t="shared" si="2"/>
        <v>100</v>
      </c>
    </row>
    <row r="58" spans="1:10" s="29" customFormat="1" ht="20.25" customHeight="1">
      <c r="A58" s="44"/>
      <c r="B58" s="44"/>
      <c r="C58" s="45" t="s">
        <v>10</v>
      </c>
      <c r="D58" s="96">
        <f>D59+D60+D61+D62+D63+D64+D65+D66+D68+D71+D72+D73+D74+D75+D76+D79+D80+D81+D82+D85+D86+D87+D90+D91+D92</f>
        <v>3046561.7</v>
      </c>
      <c r="E58" s="96">
        <f>E59+E60+E61+E62+E63+E64+E65+E66+E68+E71+E72+E73+E74+E75+E76+E79+E80+E81+E82+E85+E86+E87+E90+E91+E92</f>
        <v>3020736</v>
      </c>
      <c r="F58" s="96">
        <f>F59+F60+F61+F62+F63+F64+F65+F66+F68+F71+F72+F73+F74+F75+F76+F79+F80+F81+F82+F85+F86+F87+F90+F91+F92</f>
        <v>3020736</v>
      </c>
      <c r="G58" s="96">
        <f>G59+G60+G61+G62+G63+G64+G65+G66+G68+G71+G72+G73+G74+G75+G76+G79+G80+G81+G82+G85+G86+G87+G90+G91+G92</f>
        <v>2265</v>
      </c>
      <c r="H58" s="96">
        <f>H59+H60+H61+H62+H63+H64+H65+H66+H68+H71+H72+H73+H74+H75+H76+H79+H80+H81+H82+H85+H86+H87+H90+H91+H92</f>
        <v>3023001</v>
      </c>
      <c r="I58" s="62">
        <f t="shared" si="1"/>
        <v>99</v>
      </c>
      <c r="J58" s="62">
        <f t="shared" si="2"/>
        <v>100</v>
      </c>
    </row>
    <row r="59" spans="1:10" ht="47.25">
      <c r="A59" s="27" t="s">
        <v>139</v>
      </c>
      <c r="B59" s="27"/>
      <c r="C59" s="28" t="s">
        <v>110</v>
      </c>
      <c r="D59" s="126">
        <f>'РОСПИСЬ на 31122016'!D59</f>
        <v>229793.8</v>
      </c>
      <c r="E59" s="115">
        <v>228885.2</v>
      </c>
      <c r="F59" s="115">
        <v>228885.2</v>
      </c>
      <c r="G59" s="115">
        <v>1111.8</v>
      </c>
      <c r="H59" s="119">
        <f>G59+E59</f>
        <v>229997</v>
      </c>
      <c r="I59" s="62">
        <f t="shared" si="1"/>
        <v>100</v>
      </c>
      <c r="J59" s="62">
        <f t="shared" si="2"/>
        <v>100</v>
      </c>
    </row>
    <row r="60" spans="1:10" s="18" customFormat="1" ht="63">
      <c r="A60" s="27" t="s">
        <v>207</v>
      </c>
      <c r="B60" s="27"/>
      <c r="C60" s="28" t="s">
        <v>109</v>
      </c>
      <c r="D60" s="126">
        <f>'РОСПИСЬ на 31122016'!D60</f>
        <v>6781.9</v>
      </c>
      <c r="E60" s="115">
        <v>5131.5</v>
      </c>
      <c r="F60" s="115">
        <v>5131.5</v>
      </c>
      <c r="G60" s="115">
        <v>1153.2</v>
      </c>
      <c r="H60" s="119">
        <f t="shared" si="3"/>
        <v>6284.7</v>
      </c>
      <c r="I60" s="62">
        <f t="shared" si="1"/>
        <v>76</v>
      </c>
      <c r="J60" s="62">
        <f t="shared" si="2"/>
        <v>82</v>
      </c>
    </row>
    <row r="61" spans="1:10" s="18" customFormat="1" ht="35.25" customHeight="1">
      <c r="A61" s="27" t="s">
        <v>140</v>
      </c>
      <c r="B61" s="38"/>
      <c r="C61" s="28" t="s">
        <v>33</v>
      </c>
      <c r="D61" s="116">
        <f>'РОСПИСЬ на 31122016'!D61</f>
        <v>1229.4</v>
      </c>
      <c r="E61" s="120">
        <v>1225.7</v>
      </c>
      <c r="F61" s="120">
        <v>1225.7</v>
      </c>
      <c r="G61" s="120">
        <v>0</v>
      </c>
      <c r="H61" s="119">
        <f t="shared" si="3"/>
        <v>1225.7</v>
      </c>
      <c r="I61" s="35">
        <f t="shared" si="1"/>
        <v>100</v>
      </c>
      <c r="J61" s="35">
        <f t="shared" si="2"/>
        <v>100</v>
      </c>
    </row>
    <row r="62" spans="1:10" s="18" customFormat="1" ht="112.5" customHeight="1">
      <c r="A62" s="27" t="s">
        <v>141</v>
      </c>
      <c r="B62" s="27"/>
      <c r="C62" s="28" t="s">
        <v>16</v>
      </c>
      <c r="D62" s="116">
        <f>'РОСПИСЬ на 31122016'!D62</f>
        <v>3519.4</v>
      </c>
      <c r="E62" s="120">
        <v>3510.3</v>
      </c>
      <c r="F62" s="120">
        <v>3510.3</v>
      </c>
      <c r="G62" s="120">
        <v>0</v>
      </c>
      <c r="H62" s="119">
        <f t="shared" si="3"/>
        <v>3510.3</v>
      </c>
      <c r="I62" s="35">
        <f t="shared" si="1"/>
        <v>100</v>
      </c>
      <c r="J62" s="35">
        <f t="shared" si="2"/>
        <v>100</v>
      </c>
    </row>
    <row r="63" spans="1:10" s="24" customFormat="1" ht="78.75">
      <c r="A63" s="27" t="s">
        <v>142</v>
      </c>
      <c r="B63" s="27"/>
      <c r="C63" s="28" t="s">
        <v>22</v>
      </c>
      <c r="D63" s="116">
        <f>'РОСПИСЬ на 31122016'!D63</f>
        <v>12257.6</v>
      </c>
      <c r="E63" s="129">
        <v>12010.4</v>
      </c>
      <c r="F63" s="129">
        <v>12010.4</v>
      </c>
      <c r="G63" s="123">
        <v>0</v>
      </c>
      <c r="H63" s="119">
        <f t="shared" si="3"/>
        <v>12010.4</v>
      </c>
      <c r="I63" s="35">
        <v>100</v>
      </c>
      <c r="J63" s="35">
        <f t="shared" si="2"/>
        <v>100</v>
      </c>
    </row>
    <row r="64" spans="1:10" s="24" customFormat="1" ht="48.75" customHeight="1">
      <c r="A64" s="27" t="s">
        <v>143</v>
      </c>
      <c r="B64" s="27"/>
      <c r="C64" s="28" t="s">
        <v>15</v>
      </c>
      <c r="D64" s="116">
        <f>'РОСПИСЬ на 31122016'!D64</f>
        <v>170047.3</v>
      </c>
      <c r="E64" s="129">
        <v>169936.2</v>
      </c>
      <c r="F64" s="129">
        <v>169936.2</v>
      </c>
      <c r="G64" s="123">
        <v>0</v>
      </c>
      <c r="H64" s="119">
        <f t="shared" si="3"/>
        <v>169936.2</v>
      </c>
      <c r="I64" s="35">
        <f t="shared" si="1"/>
        <v>100</v>
      </c>
      <c r="J64" s="35">
        <f t="shared" si="2"/>
        <v>100</v>
      </c>
    </row>
    <row r="65" spans="1:10" s="18" customFormat="1" ht="81" customHeight="1">
      <c r="A65" s="27" t="s">
        <v>144</v>
      </c>
      <c r="B65" s="60"/>
      <c r="C65" s="52" t="s">
        <v>100</v>
      </c>
      <c r="D65" s="116">
        <f>'РОСПИСЬ на 31122016'!D65</f>
        <v>450</v>
      </c>
      <c r="E65" s="120">
        <v>450</v>
      </c>
      <c r="F65" s="120">
        <v>450</v>
      </c>
      <c r="G65" s="119">
        <v>0</v>
      </c>
      <c r="H65" s="119">
        <f t="shared" si="3"/>
        <v>450</v>
      </c>
      <c r="I65" s="35">
        <f t="shared" si="1"/>
        <v>100</v>
      </c>
      <c r="J65" s="35">
        <f t="shared" si="2"/>
        <v>100</v>
      </c>
    </row>
    <row r="66" spans="1:10" s="18" customFormat="1" ht="31.5">
      <c r="A66" s="27" t="s">
        <v>145</v>
      </c>
      <c r="B66" s="27"/>
      <c r="C66" s="28" t="s">
        <v>101</v>
      </c>
      <c r="D66" s="116">
        <f>'РОСПИСЬ на 31122016'!D66</f>
        <v>42945.5</v>
      </c>
      <c r="E66" s="120">
        <v>42914.5</v>
      </c>
      <c r="F66" s="120">
        <v>42914.5</v>
      </c>
      <c r="G66" s="123">
        <v>0</v>
      </c>
      <c r="H66" s="119">
        <f>G66+E66</f>
        <v>42914.5</v>
      </c>
      <c r="I66" s="35">
        <f t="shared" si="1"/>
        <v>100</v>
      </c>
      <c r="J66" s="35">
        <f t="shared" si="2"/>
        <v>100</v>
      </c>
    </row>
    <row r="67" spans="1:10" s="24" customFormat="1" ht="47.25">
      <c r="A67" s="38" t="s">
        <v>146</v>
      </c>
      <c r="B67" s="38" t="s">
        <v>29</v>
      </c>
      <c r="C67" s="42" t="s">
        <v>23</v>
      </c>
      <c r="D67" s="99">
        <f>D68+D71</f>
        <v>345956.9</v>
      </c>
      <c r="E67" s="99">
        <f>E68+E71</f>
        <v>345256.1</v>
      </c>
      <c r="F67" s="99">
        <f>F68+F71</f>
        <v>345256.1</v>
      </c>
      <c r="G67" s="131">
        <f>G68+G71</f>
        <v>0</v>
      </c>
      <c r="H67" s="99">
        <f>H68+H71</f>
        <v>345256.1</v>
      </c>
      <c r="I67" s="151">
        <f t="shared" si="1"/>
        <v>100</v>
      </c>
      <c r="J67" s="151">
        <f t="shared" si="2"/>
        <v>100</v>
      </c>
    </row>
    <row r="68" spans="1:10" ht="31.5">
      <c r="A68" s="136" t="s">
        <v>147</v>
      </c>
      <c r="B68" s="137"/>
      <c r="C68" s="138" t="s">
        <v>18</v>
      </c>
      <c r="D68" s="150">
        <f>D69+D70</f>
        <v>330400.6</v>
      </c>
      <c r="E68" s="150">
        <f>E69+E70</f>
        <v>329701.2</v>
      </c>
      <c r="F68" s="150">
        <f>F69+F70</f>
        <v>329701.2</v>
      </c>
      <c r="G68" s="152">
        <f>G69+G70</f>
        <v>0</v>
      </c>
      <c r="H68" s="150">
        <f>H69+H70</f>
        <v>329701.2</v>
      </c>
      <c r="I68" s="35">
        <f t="shared" si="1"/>
        <v>100</v>
      </c>
      <c r="J68" s="35">
        <f t="shared" si="2"/>
        <v>100</v>
      </c>
    </row>
    <row r="69" spans="1:10" ht="31.5">
      <c r="A69" s="23"/>
      <c r="B69" s="19" t="s">
        <v>45</v>
      </c>
      <c r="C69" s="22" t="s">
        <v>116</v>
      </c>
      <c r="D69" s="116">
        <f>'РОСПИСЬ на 31122016'!D69</f>
        <v>198764.6</v>
      </c>
      <c r="E69" s="149">
        <v>197980.9</v>
      </c>
      <c r="F69" s="149">
        <v>197980.9</v>
      </c>
      <c r="G69" s="116">
        <v>0</v>
      </c>
      <c r="H69" s="119">
        <f>G69+E69</f>
        <v>197980.9</v>
      </c>
      <c r="I69" s="35">
        <f t="shared" si="1"/>
        <v>100</v>
      </c>
      <c r="J69" s="35">
        <f t="shared" si="2"/>
        <v>100</v>
      </c>
    </row>
    <row r="70" spans="1:10" ht="31.5">
      <c r="A70" s="21"/>
      <c r="B70" s="19" t="s">
        <v>50</v>
      </c>
      <c r="C70" s="22" t="s">
        <v>34</v>
      </c>
      <c r="D70" s="116">
        <f>'РОСПИСЬ на 31122016'!D70</f>
        <v>131636</v>
      </c>
      <c r="E70" s="149">
        <v>131720.3</v>
      </c>
      <c r="F70" s="149">
        <v>131720.3</v>
      </c>
      <c r="G70" s="116">
        <v>0</v>
      </c>
      <c r="H70" s="119">
        <f>G70+E70</f>
        <v>131720.3</v>
      </c>
      <c r="I70" s="35">
        <f t="shared" si="1"/>
        <v>100</v>
      </c>
      <c r="J70" s="35">
        <f t="shared" si="2"/>
        <v>100</v>
      </c>
    </row>
    <row r="71" spans="1:10" ht="47.25">
      <c r="A71" s="23" t="s">
        <v>148</v>
      </c>
      <c r="B71" s="19"/>
      <c r="C71" s="3" t="s">
        <v>24</v>
      </c>
      <c r="D71" s="116">
        <f>'РОСПИСЬ на 31122016'!D71</f>
        <v>15556.3</v>
      </c>
      <c r="E71" s="120">
        <v>15554.9</v>
      </c>
      <c r="F71" s="120">
        <v>15554.9</v>
      </c>
      <c r="G71" s="119">
        <v>0</v>
      </c>
      <c r="H71" s="119">
        <f>G71+E71</f>
        <v>15554.9</v>
      </c>
      <c r="I71" s="35">
        <f t="shared" si="1"/>
        <v>100</v>
      </c>
      <c r="J71" s="35">
        <f t="shared" si="2"/>
        <v>100</v>
      </c>
    </row>
    <row r="72" spans="1:10" ht="47.25">
      <c r="A72" s="23" t="s">
        <v>149</v>
      </c>
      <c r="B72" s="23" t="s">
        <v>2</v>
      </c>
      <c r="C72" s="3" t="s">
        <v>67</v>
      </c>
      <c r="D72" s="116">
        <f>'РОСПИСЬ на 31122016'!D72</f>
        <v>825224.3</v>
      </c>
      <c r="E72" s="120">
        <v>810139.4</v>
      </c>
      <c r="F72" s="120">
        <v>810139.4</v>
      </c>
      <c r="G72" s="119">
        <v>0</v>
      </c>
      <c r="H72" s="119">
        <f>G72+E72</f>
        <v>810139.4</v>
      </c>
      <c r="I72" s="35">
        <f t="shared" si="1"/>
        <v>98</v>
      </c>
      <c r="J72" s="35">
        <f t="shared" si="2"/>
        <v>100</v>
      </c>
    </row>
    <row r="73" spans="1:10" ht="94.5">
      <c r="A73" s="23" t="s">
        <v>150</v>
      </c>
      <c r="B73" s="23"/>
      <c r="C73" s="3" t="s">
        <v>25</v>
      </c>
      <c r="D73" s="116">
        <f>'РОСПИСЬ на 31122016'!D73</f>
        <v>28.4</v>
      </c>
      <c r="E73" s="120">
        <v>28.3</v>
      </c>
      <c r="F73" s="120">
        <v>28.3</v>
      </c>
      <c r="G73" s="119">
        <v>0</v>
      </c>
      <c r="H73" s="119">
        <f t="shared" si="3"/>
        <v>28.3</v>
      </c>
      <c r="I73" s="35">
        <f t="shared" si="1"/>
        <v>100</v>
      </c>
      <c r="J73" s="35">
        <f t="shared" si="2"/>
        <v>100</v>
      </c>
    </row>
    <row r="74" spans="1:10" s="24" customFormat="1" ht="94.5">
      <c r="A74" s="23" t="s">
        <v>151</v>
      </c>
      <c r="B74" s="23" t="s">
        <v>42</v>
      </c>
      <c r="C74" s="3" t="s">
        <v>26</v>
      </c>
      <c r="D74" s="116">
        <f>'РОСПИСЬ на 31122016'!D74</f>
        <v>25</v>
      </c>
      <c r="E74" s="120">
        <v>17.8</v>
      </c>
      <c r="F74" s="120">
        <v>17.8</v>
      </c>
      <c r="G74" s="123">
        <v>0</v>
      </c>
      <c r="H74" s="119">
        <f t="shared" si="3"/>
        <v>17.8</v>
      </c>
      <c r="I74" s="35">
        <f>E74*100/D74</f>
        <v>71</v>
      </c>
      <c r="J74" s="35">
        <f t="shared" si="2"/>
        <v>100</v>
      </c>
    </row>
    <row r="75" spans="1:10" ht="173.25">
      <c r="A75" s="27" t="s">
        <v>152</v>
      </c>
      <c r="B75" s="27" t="s">
        <v>45</v>
      </c>
      <c r="C75" s="28" t="s">
        <v>39</v>
      </c>
      <c r="D75" s="126">
        <f>'РОСПИСЬ на 31122016'!D75</f>
        <v>434963.8</v>
      </c>
      <c r="E75" s="121">
        <v>432430.2</v>
      </c>
      <c r="F75" s="121">
        <v>432430.2</v>
      </c>
      <c r="G75" s="115">
        <v>0</v>
      </c>
      <c r="H75" s="124">
        <f t="shared" si="3"/>
        <v>432430.2</v>
      </c>
      <c r="I75" s="62">
        <f>E75*100/D75</f>
        <v>99</v>
      </c>
      <c r="J75" s="62">
        <f t="shared" si="2"/>
        <v>100</v>
      </c>
    </row>
    <row r="76" spans="1:10" ht="78.75">
      <c r="A76" s="142" t="s">
        <v>153</v>
      </c>
      <c r="B76" s="137"/>
      <c r="C76" s="143" t="s">
        <v>35</v>
      </c>
      <c r="D76" s="113">
        <f>D77+D78</f>
        <v>411958.3</v>
      </c>
      <c r="E76" s="113">
        <f>E77+E78</f>
        <v>410977.5</v>
      </c>
      <c r="F76" s="113">
        <f>F77+F78</f>
        <v>410977.5</v>
      </c>
      <c r="G76" s="113">
        <f>G77+G78</f>
        <v>0</v>
      </c>
      <c r="H76" s="113">
        <f>H77+H78</f>
        <v>410977.5</v>
      </c>
      <c r="I76" s="62">
        <f>E76*100/D76</f>
        <v>100</v>
      </c>
      <c r="J76" s="62">
        <f t="shared" si="2"/>
        <v>100</v>
      </c>
    </row>
    <row r="77" spans="1:10" ht="31.5">
      <c r="A77" s="19"/>
      <c r="B77" s="19" t="s">
        <v>45</v>
      </c>
      <c r="C77" s="20" t="s">
        <v>115</v>
      </c>
      <c r="D77" s="116">
        <f>'РОСПИСЬ на 31122016'!D77</f>
        <v>286994.3</v>
      </c>
      <c r="E77" s="152">
        <v>286047.1</v>
      </c>
      <c r="F77" s="152">
        <v>286047.1</v>
      </c>
      <c r="G77" s="127">
        <v>0</v>
      </c>
      <c r="H77" s="119">
        <f t="shared" si="3"/>
        <v>286047.1</v>
      </c>
      <c r="I77" s="35">
        <f aca="true" t="shared" si="4" ref="I77:I133">E77*100/D77</f>
        <v>100</v>
      </c>
      <c r="J77" s="35">
        <f t="shared" si="2"/>
        <v>100</v>
      </c>
    </row>
    <row r="78" spans="1:10" ht="36" customHeight="1">
      <c r="A78" s="19"/>
      <c r="B78" s="19" t="s">
        <v>50</v>
      </c>
      <c r="C78" s="20" t="s">
        <v>36</v>
      </c>
      <c r="D78" s="116">
        <f>'РОСПИСЬ на 31122016'!D78</f>
        <v>124964</v>
      </c>
      <c r="E78" s="153">
        <v>124930.4</v>
      </c>
      <c r="F78" s="153">
        <v>124930.4</v>
      </c>
      <c r="G78" s="117">
        <v>0</v>
      </c>
      <c r="H78" s="119">
        <f t="shared" si="3"/>
        <v>124930.4</v>
      </c>
      <c r="I78" s="35">
        <f t="shared" si="4"/>
        <v>100</v>
      </c>
      <c r="J78" s="35">
        <f aca="true" t="shared" si="5" ref="J78:J91">E78*100/H78</f>
        <v>100</v>
      </c>
    </row>
    <row r="79" spans="1:10" ht="63">
      <c r="A79" s="23" t="s">
        <v>154</v>
      </c>
      <c r="B79" s="23" t="s">
        <v>42</v>
      </c>
      <c r="C79" s="3" t="s">
        <v>27</v>
      </c>
      <c r="D79" s="116">
        <f>'РОСПИСЬ на 31122016'!D79</f>
        <v>196474.7</v>
      </c>
      <c r="E79" s="130">
        <v>195972.6</v>
      </c>
      <c r="F79" s="130">
        <v>195972.6</v>
      </c>
      <c r="G79" s="116">
        <v>0</v>
      </c>
      <c r="H79" s="119">
        <f t="shared" si="3"/>
        <v>195972.6</v>
      </c>
      <c r="I79" s="35">
        <f t="shared" si="4"/>
        <v>100</v>
      </c>
      <c r="J79" s="35">
        <f t="shared" si="5"/>
        <v>100</v>
      </c>
    </row>
    <row r="80" spans="1:10" ht="63">
      <c r="A80" s="23" t="s">
        <v>155</v>
      </c>
      <c r="B80" s="23" t="s">
        <v>45</v>
      </c>
      <c r="C80" s="3" t="s">
        <v>37</v>
      </c>
      <c r="D80" s="116">
        <f>'РОСПИСЬ на 31122016'!D80</f>
        <v>201341.1</v>
      </c>
      <c r="E80" s="120">
        <v>201291.1</v>
      </c>
      <c r="F80" s="120">
        <v>201291.1</v>
      </c>
      <c r="G80" s="123">
        <v>0</v>
      </c>
      <c r="H80" s="119">
        <f t="shared" si="3"/>
        <v>201291.1</v>
      </c>
      <c r="I80" s="35">
        <f t="shared" si="4"/>
        <v>100</v>
      </c>
      <c r="J80" s="35">
        <f t="shared" si="5"/>
        <v>100</v>
      </c>
    </row>
    <row r="81" spans="1:10" ht="47.25">
      <c r="A81" s="16" t="s">
        <v>156</v>
      </c>
      <c r="B81" s="16" t="s">
        <v>45</v>
      </c>
      <c r="C81" s="17" t="s">
        <v>66</v>
      </c>
      <c r="D81" s="116">
        <f>'РОСПИСЬ на 31122016'!D81</f>
        <v>945.8</v>
      </c>
      <c r="E81" s="117">
        <v>937.7</v>
      </c>
      <c r="F81" s="117">
        <v>937.7</v>
      </c>
      <c r="G81" s="119">
        <v>0</v>
      </c>
      <c r="H81" s="119">
        <f>G81+E81</f>
        <v>937.7</v>
      </c>
      <c r="I81" s="35">
        <f t="shared" si="4"/>
        <v>99</v>
      </c>
      <c r="J81" s="35">
        <f t="shared" si="5"/>
        <v>100</v>
      </c>
    </row>
    <row r="82" spans="1:10" ht="31.5">
      <c r="A82" s="23" t="s">
        <v>157</v>
      </c>
      <c r="B82" s="16"/>
      <c r="C82" s="3" t="s">
        <v>49</v>
      </c>
      <c r="D82" s="96">
        <f>D83+D84</f>
        <v>131565.3</v>
      </c>
      <c r="E82" s="96">
        <f>E83+E84</f>
        <v>131444.7</v>
      </c>
      <c r="F82" s="96">
        <f>F83+F84</f>
        <v>131444.7</v>
      </c>
      <c r="G82" s="115">
        <f>G83+G84</f>
        <v>0</v>
      </c>
      <c r="H82" s="96">
        <f>H83+H84</f>
        <v>131444.7</v>
      </c>
      <c r="I82" s="35">
        <f t="shared" si="4"/>
        <v>100</v>
      </c>
      <c r="J82" s="35">
        <f t="shared" si="5"/>
        <v>100</v>
      </c>
    </row>
    <row r="83" spans="1:10" ht="47.25">
      <c r="A83" s="19"/>
      <c r="B83" s="19" t="s">
        <v>50</v>
      </c>
      <c r="C83" s="20" t="s">
        <v>38</v>
      </c>
      <c r="D83" s="116">
        <f>'РОСПИСЬ на 31122016'!D83</f>
        <v>61310.2</v>
      </c>
      <c r="E83" s="153">
        <v>61189.6</v>
      </c>
      <c r="F83" s="153">
        <v>61189.6</v>
      </c>
      <c r="G83" s="119">
        <v>0</v>
      </c>
      <c r="H83" s="119">
        <f aca="true" t="shared" si="6" ref="H83:H92">G83+E83</f>
        <v>61189.6</v>
      </c>
      <c r="I83" s="35">
        <f t="shared" si="4"/>
        <v>100</v>
      </c>
      <c r="J83" s="35">
        <f t="shared" si="5"/>
        <v>100</v>
      </c>
    </row>
    <row r="84" spans="1:10" ht="51.75" customHeight="1">
      <c r="A84" s="23"/>
      <c r="B84" s="19" t="s">
        <v>45</v>
      </c>
      <c r="C84" s="20" t="s">
        <v>48</v>
      </c>
      <c r="D84" s="116">
        <f>'РОСПИСЬ на 31122016'!D84</f>
        <v>70255.1</v>
      </c>
      <c r="E84" s="153">
        <v>70255.1</v>
      </c>
      <c r="F84" s="153">
        <v>70255.1</v>
      </c>
      <c r="G84" s="119">
        <v>0</v>
      </c>
      <c r="H84" s="119">
        <f t="shared" si="6"/>
        <v>70255.1</v>
      </c>
      <c r="I84" s="35">
        <f t="shared" si="4"/>
        <v>100</v>
      </c>
      <c r="J84" s="35">
        <f t="shared" si="5"/>
        <v>100</v>
      </c>
    </row>
    <row r="85" spans="1:10" s="18" customFormat="1" ht="47.25">
      <c r="A85" s="23" t="s">
        <v>158</v>
      </c>
      <c r="B85" s="16"/>
      <c r="C85" s="3" t="s">
        <v>102</v>
      </c>
      <c r="D85" s="116">
        <f>'РОСПИСЬ на 31122016'!D85</f>
        <v>19134.5</v>
      </c>
      <c r="E85" s="120">
        <v>18361.6</v>
      </c>
      <c r="F85" s="120">
        <v>18361.6</v>
      </c>
      <c r="G85" s="123">
        <v>0</v>
      </c>
      <c r="H85" s="119">
        <f t="shared" si="6"/>
        <v>18361.6</v>
      </c>
      <c r="I85" s="35">
        <f t="shared" si="4"/>
        <v>96</v>
      </c>
      <c r="J85" s="35">
        <f t="shared" si="5"/>
        <v>100</v>
      </c>
    </row>
    <row r="86" spans="1:10" ht="47.25">
      <c r="A86" s="19" t="s">
        <v>159</v>
      </c>
      <c r="B86" s="19" t="s">
        <v>41</v>
      </c>
      <c r="C86" s="61" t="s">
        <v>91</v>
      </c>
      <c r="D86" s="116">
        <f>'РОСПИСЬ на 31122016'!D86</f>
        <v>367.5</v>
      </c>
      <c r="E86" s="120">
        <v>0</v>
      </c>
      <c r="F86" s="120">
        <v>0</v>
      </c>
      <c r="G86" s="119">
        <v>0</v>
      </c>
      <c r="H86" s="119">
        <f t="shared" si="6"/>
        <v>0</v>
      </c>
      <c r="I86" s="35">
        <f t="shared" si="4"/>
        <v>0</v>
      </c>
      <c r="J86" s="35">
        <v>0</v>
      </c>
    </row>
    <row r="87" spans="1:10" ht="63">
      <c r="A87" s="19"/>
      <c r="B87" s="19"/>
      <c r="C87" s="61" t="s">
        <v>239</v>
      </c>
      <c r="D87" s="126">
        <f>D88+D89</f>
        <v>1901.2</v>
      </c>
      <c r="E87" s="126">
        <f>E88+E89</f>
        <v>185.2</v>
      </c>
      <c r="F87" s="126">
        <f>F88+F89</f>
        <v>185.2</v>
      </c>
      <c r="G87" s="126">
        <f>G88+G89</f>
        <v>0</v>
      </c>
      <c r="H87" s="126">
        <f>H88+H89</f>
        <v>185.2</v>
      </c>
      <c r="I87" s="62">
        <f t="shared" si="4"/>
        <v>10</v>
      </c>
      <c r="J87" s="62">
        <f t="shared" si="5"/>
        <v>100</v>
      </c>
    </row>
    <row r="88" spans="1:10" ht="39.75" customHeight="1">
      <c r="A88" s="19" t="s">
        <v>236</v>
      </c>
      <c r="B88" s="19" t="s">
        <v>45</v>
      </c>
      <c r="C88" s="168" t="s">
        <v>240</v>
      </c>
      <c r="D88" s="116">
        <f>'РОСПИСЬ на 31122016'!D88</f>
        <v>1898.6</v>
      </c>
      <c r="E88" s="120">
        <v>183</v>
      </c>
      <c r="F88" s="120">
        <v>183</v>
      </c>
      <c r="G88" s="119">
        <v>0</v>
      </c>
      <c r="H88" s="119">
        <f t="shared" si="6"/>
        <v>183</v>
      </c>
      <c r="I88" s="35">
        <f t="shared" si="4"/>
        <v>10</v>
      </c>
      <c r="J88" s="35">
        <f t="shared" si="5"/>
        <v>100</v>
      </c>
    </row>
    <row r="89" spans="1:10" ht="31.5">
      <c r="A89" s="19" t="s">
        <v>237</v>
      </c>
      <c r="B89" s="11" t="s">
        <v>238</v>
      </c>
      <c r="C89" s="168" t="s">
        <v>241</v>
      </c>
      <c r="D89" s="116">
        <f>'РОСПИСЬ на 31122016'!D89</f>
        <v>2.6</v>
      </c>
      <c r="E89" s="120">
        <v>2.2</v>
      </c>
      <c r="F89" s="120">
        <v>2.2</v>
      </c>
      <c r="G89" s="119">
        <v>0</v>
      </c>
      <c r="H89" s="119">
        <f t="shared" si="6"/>
        <v>2.2</v>
      </c>
      <c r="I89" s="35">
        <f t="shared" si="4"/>
        <v>85</v>
      </c>
      <c r="J89" s="35">
        <f t="shared" si="5"/>
        <v>100</v>
      </c>
    </row>
    <row r="90" spans="1:10" ht="31.5">
      <c r="A90" s="16" t="s">
        <v>243</v>
      </c>
      <c r="B90" s="15" t="s">
        <v>42</v>
      </c>
      <c r="C90" s="61" t="s">
        <v>242</v>
      </c>
      <c r="D90" s="116">
        <f>'РОСПИСЬ на 31122016'!D90</f>
        <v>10</v>
      </c>
      <c r="E90" s="120">
        <v>10</v>
      </c>
      <c r="F90" s="120">
        <v>10</v>
      </c>
      <c r="G90" s="119">
        <v>0</v>
      </c>
      <c r="H90" s="119">
        <f t="shared" si="6"/>
        <v>10</v>
      </c>
      <c r="I90" s="35">
        <f t="shared" si="4"/>
        <v>100</v>
      </c>
      <c r="J90" s="35">
        <f t="shared" si="5"/>
        <v>100</v>
      </c>
    </row>
    <row r="91" spans="1:10" ht="47.25">
      <c r="A91" s="19" t="s">
        <v>234</v>
      </c>
      <c r="B91" s="19" t="s">
        <v>214</v>
      </c>
      <c r="C91" s="164" t="s">
        <v>235</v>
      </c>
      <c r="D91" s="116">
        <f>'РОСПИСЬ на 31122016'!D91</f>
        <v>3000</v>
      </c>
      <c r="E91" s="120">
        <v>2980</v>
      </c>
      <c r="F91" s="120">
        <v>2980</v>
      </c>
      <c r="G91" s="119">
        <v>0</v>
      </c>
      <c r="H91" s="119">
        <f t="shared" si="6"/>
        <v>2980</v>
      </c>
      <c r="I91" s="35">
        <f t="shared" si="4"/>
        <v>99</v>
      </c>
      <c r="J91" s="35">
        <f t="shared" si="5"/>
        <v>100</v>
      </c>
    </row>
    <row r="92" spans="1:10" ht="31.5">
      <c r="A92" s="27" t="s">
        <v>196</v>
      </c>
      <c r="B92" s="44" t="s">
        <v>42</v>
      </c>
      <c r="C92" s="45" t="s">
        <v>195</v>
      </c>
      <c r="D92" s="116">
        <f>'РОСПИСЬ на 31122016'!D92</f>
        <v>6640</v>
      </c>
      <c r="E92" s="120">
        <v>6640</v>
      </c>
      <c r="F92" s="120">
        <v>6640</v>
      </c>
      <c r="G92" s="123">
        <v>0</v>
      </c>
      <c r="H92" s="119">
        <f t="shared" si="6"/>
        <v>6640</v>
      </c>
      <c r="I92" s="35">
        <f t="shared" si="4"/>
        <v>100</v>
      </c>
      <c r="J92" s="35">
        <f>E92*100/H92</f>
        <v>100</v>
      </c>
    </row>
    <row r="93" spans="1:10" ht="47.25">
      <c r="A93" s="19"/>
      <c r="B93" s="19"/>
      <c r="C93" s="17" t="s">
        <v>103</v>
      </c>
      <c r="D93" s="96">
        <f>D94+D95+D96</f>
        <v>19292.1</v>
      </c>
      <c r="E93" s="96">
        <f>E94+E95+E96</f>
        <v>17514.2</v>
      </c>
      <c r="F93" s="96">
        <f>F94+F95+F96</f>
        <v>17514.2</v>
      </c>
      <c r="G93" s="115">
        <f>G94+G95+G96</f>
        <v>0</v>
      </c>
      <c r="H93" s="96">
        <f>H94+H95+H96</f>
        <v>17514.2</v>
      </c>
      <c r="I93" s="35">
        <f t="shared" si="4"/>
        <v>91</v>
      </c>
      <c r="J93" s="35">
        <f>E93*100/H93</f>
        <v>100</v>
      </c>
    </row>
    <row r="94" spans="1:10" ht="31.5">
      <c r="A94" s="19" t="s">
        <v>161</v>
      </c>
      <c r="B94" s="19" t="s">
        <v>42</v>
      </c>
      <c r="C94" s="20" t="s">
        <v>40</v>
      </c>
      <c r="D94" s="116">
        <f>'РОСПИСЬ на 31122016'!D94</f>
        <v>8712.7</v>
      </c>
      <c r="E94" s="120">
        <v>8710.8</v>
      </c>
      <c r="F94" s="120">
        <v>8710.8</v>
      </c>
      <c r="G94" s="123">
        <v>0</v>
      </c>
      <c r="H94" s="119">
        <f>G94+E94</f>
        <v>8710.8</v>
      </c>
      <c r="I94" s="35">
        <f t="shared" si="4"/>
        <v>100</v>
      </c>
      <c r="J94" s="35">
        <f>E94*100/H94</f>
        <v>100</v>
      </c>
    </row>
    <row r="95" spans="1:10" ht="15.75">
      <c r="A95" s="19" t="s">
        <v>162</v>
      </c>
      <c r="B95" s="19" t="s">
        <v>41</v>
      </c>
      <c r="C95" s="20" t="s">
        <v>43</v>
      </c>
      <c r="D95" s="116">
        <f>'РОСПИСЬ на 31122016'!D95</f>
        <v>50.1</v>
      </c>
      <c r="E95" s="123">
        <v>0</v>
      </c>
      <c r="F95" s="123">
        <v>0</v>
      </c>
      <c r="G95" s="123">
        <v>0</v>
      </c>
      <c r="H95" s="119">
        <f>G95+E95</f>
        <v>0</v>
      </c>
      <c r="I95" s="35">
        <f t="shared" si="4"/>
        <v>0</v>
      </c>
      <c r="J95" s="35">
        <v>0</v>
      </c>
    </row>
    <row r="96" spans="1:10" ht="47.25">
      <c r="A96" s="23" t="s">
        <v>163</v>
      </c>
      <c r="B96" s="16"/>
      <c r="C96" s="17" t="s">
        <v>59</v>
      </c>
      <c r="D96" s="99">
        <f>D97+D98+D99</f>
        <v>10529.3</v>
      </c>
      <c r="E96" s="99">
        <f>E97+E98+E99</f>
        <v>8803.4</v>
      </c>
      <c r="F96" s="99">
        <f>F97+F98+F99</f>
        <v>8803.4</v>
      </c>
      <c r="G96" s="131">
        <f>G97+G98+G99</f>
        <v>0</v>
      </c>
      <c r="H96" s="99">
        <f>H97+H98+H99</f>
        <v>8803.4</v>
      </c>
      <c r="I96" s="35">
        <f t="shared" si="4"/>
        <v>84</v>
      </c>
      <c r="J96" s="35">
        <f aca="true" t="shared" si="7" ref="J96:J102">E96*100/H96</f>
        <v>100</v>
      </c>
    </row>
    <row r="97" spans="1:10" ht="78.75">
      <c r="A97" s="19" t="s">
        <v>164</v>
      </c>
      <c r="B97" s="19" t="s">
        <v>42</v>
      </c>
      <c r="C97" s="20" t="s">
        <v>104</v>
      </c>
      <c r="D97" s="116">
        <f>'РОСПИСЬ на 31122016'!D97</f>
        <v>8000</v>
      </c>
      <c r="E97" s="125">
        <v>6600</v>
      </c>
      <c r="F97" s="125">
        <v>6600</v>
      </c>
      <c r="G97" s="119">
        <v>0</v>
      </c>
      <c r="H97" s="119">
        <f>G97+E97</f>
        <v>6600</v>
      </c>
      <c r="I97" s="35">
        <f t="shared" si="4"/>
        <v>83</v>
      </c>
      <c r="J97" s="35">
        <f t="shared" si="7"/>
        <v>100</v>
      </c>
    </row>
    <row r="98" spans="1:10" ht="15.75">
      <c r="A98" s="19" t="s">
        <v>165</v>
      </c>
      <c r="B98" s="19" t="s">
        <v>31</v>
      </c>
      <c r="C98" s="20" t="s">
        <v>76</v>
      </c>
      <c r="D98" s="116">
        <f>'РОСПИСЬ на 31122016'!D98</f>
        <v>142</v>
      </c>
      <c r="E98" s="123">
        <v>116.8</v>
      </c>
      <c r="F98" s="123">
        <v>116.8</v>
      </c>
      <c r="G98" s="123">
        <f>G99+G100+G101</f>
        <v>0</v>
      </c>
      <c r="H98" s="119">
        <f>G98+E98</f>
        <v>116.8</v>
      </c>
      <c r="I98" s="35">
        <f t="shared" si="4"/>
        <v>82</v>
      </c>
      <c r="J98" s="35">
        <f t="shared" si="7"/>
        <v>100</v>
      </c>
    </row>
    <row r="99" spans="1:10" ht="63">
      <c r="A99" s="19" t="s">
        <v>166</v>
      </c>
      <c r="B99" s="19" t="s">
        <v>42</v>
      </c>
      <c r="C99" s="37" t="s">
        <v>99</v>
      </c>
      <c r="D99" s="116">
        <f>'РОСПИСЬ на 31122016'!D99</f>
        <v>2387.3</v>
      </c>
      <c r="E99" s="125">
        <v>2086.6</v>
      </c>
      <c r="F99" s="125">
        <v>2086.6</v>
      </c>
      <c r="G99" s="119">
        <v>0</v>
      </c>
      <c r="H99" s="119">
        <f aca="true" t="shared" si="8" ref="H99:H126">G99+E99</f>
        <v>2086.6</v>
      </c>
      <c r="I99" s="35">
        <f t="shared" si="4"/>
        <v>87</v>
      </c>
      <c r="J99" s="35">
        <f t="shared" si="7"/>
        <v>100</v>
      </c>
    </row>
    <row r="100" spans="1:10" ht="63">
      <c r="A100" s="16"/>
      <c r="B100" s="16"/>
      <c r="C100" s="17" t="s">
        <v>105</v>
      </c>
      <c r="D100" s="96">
        <f>D101+D102+D103+D104</f>
        <v>32016</v>
      </c>
      <c r="E100" s="96">
        <f>E101+E102+E103+E104</f>
        <v>30857.2</v>
      </c>
      <c r="F100" s="96">
        <f>F101+F102+F103+F104</f>
        <v>30857.2</v>
      </c>
      <c r="G100" s="115">
        <f>G101+G102+G103+G104</f>
        <v>0</v>
      </c>
      <c r="H100" s="124">
        <f t="shared" si="8"/>
        <v>30857.2</v>
      </c>
      <c r="I100" s="35">
        <f t="shared" si="4"/>
        <v>96</v>
      </c>
      <c r="J100" s="35">
        <f t="shared" si="7"/>
        <v>100</v>
      </c>
    </row>
    <row r="101" spans="1:10" ht="78.75">
      <c r="A101" s="19" t="s">
        <v>167</v>
      </c>
      <c r="B101" s="19" t="s">
        <v>42</v>
      </c>
      <c r="C101" s="20" t="s">
        <v>32</v>
      </c>
      <c r="D101" s="116">
        <f>'РОСПИСЬ на 31122016'!D101</f>
        <v>18603</v>
      </c>
      <c r="E101" s="125">
        <v>18305</v>
      </c>
      <c r="F101" s="125">
        <v>18305</v>
      </c>
      <c r="G101" s="119">
        <v>0</v>
      </c>
      <c r="H101" s="119">
        <f t="shared" si="8"/>
        <v>18305</v>
      </c>
      <c r="I101" s="35">
        <f t="shared" si="4"/>
        <v>98</v>
      </c>
      <c r="J101" s="35">
        <f t="shared" si="7"/>
        <v>100</v>
      </c>
    </row>
    <row r="102" spans="1:10" ht="94.5">
      <c r="A102" s="19" t="s">
        <v>167</v>
      </c>
      <c r="B102" s="19" t="s">
        <v>42</v>
      </c>
      <c r="C102" s="20" t="s">
        <v>60</v>
      </c>
      <c r="D102" s="116">
        <f>'РОСПИСЬ на 31122016'!D102</f>
        <v>1918</v>
      </c>
      <c r="E102" s="123">
        <v>1850.9</v>
      </c>
      <c r="F102" s="123">
        <v>1850.9</v>
      </c>
      <c r="G102" s="123">
        <f>G103+G104+G105+G106</f>
        <v>0</v>
      </c>
      <c r="H102" s="119">
        <f t="shared" si="8"/>
        <v>1850.9</v>
      </c>
      <c r="I102" s="35">
        <f t="shared" si="4"/>
        <v>97</v>
      </c>
      <c r="J102" s="35">
        <f t="shared" si="7"/>
        <v>100</v>
      </c>
    </row>
    <row r="103" spans="1:10" ht="15.75">
      <c r="A103" s="19" t="s">
        <v>168</v>
      </c>
      <c r="B103" s="19" t="s">
        <v>47</v>
      </c>
      <c r="C103" s="20" t="s">
        <v>69</v>
      </c>
      <c r="D103" s="116">
        <f>'РОСПИСЬ на 31122016'!D103</f>
        <v>0</v>
      </c>
      <c r="E103" s="125">
        <v>0</v>
      </c>
      <c r="F103" s="125">
        <v>0</v>
      </c>
      <c r="G103" s="119">
        <v>0</v>
      </c>
      <c r="H103" s="119">
        <f t="shared" si="8"/>
        <v>0</v>
      </c>
      <c r="I103" s="35">
        <v>0</v>
      </c>
      <c r="J103" s="35">
        <v>0</v>
      </c>
    </row>
    <row r="104" spans="1:10" ht="47.25">
      <c r="A104" s="19"/>
      <c r="B104" s="19"/>
      <c r="C104" s="3" t="s">
        <v>113</v>
      </c>
      <c r="D104" s="99">
        <f>D105+D106</f>
        <v>11495</v>
      </c>
      <c r="E104" s="99">
        <f>E105+E106</f>
        <v>10701.3</v>
      </c>
      <c r="F104" s="99">
        <f>F105+F106</f>
        <v>10701.3</v>
      </c>
      <c r="G104" s="131">
        <f>G105+G106</f>
        <v>0</v>
      </c>
      <c r="H104" s="99">
        <f>H105+H106</f>
        <v>10701.3</v>
      </c>
      <c r="I104" s="62">
        <f>E104*100/D104</f>
        <v>93</v>
      </c>
      <c r="J104" s="62">
        <f>E104*100/H104</f>
        <v>100</v>
      </c>
    </row>
    <row r="105" spans="1:10" ht="94.5">
      <c r="A105" s="19" t="s">
        <v>169</v>
      </c>
      <c r="B105" s="19" t="s">
        <v>42</v>
      </c>
      <c r="C105" s="20" t="s">
        <v>65</v>
      </c>
      <c r="D105" s="116">
        <f>'РОСПИСЬ на 31122016'!D105</f>
        <v>11195</v>
      </c>
      <c r="E105" s="125">
        <v>10580</v>
      </c>
      <c r="F105" s="125">
        <v>10580</v>
      </c>
      <c r="G105" s="119">
        <v>0</v>
      </c>
      <c r="H105" s="119">
        <f t="shared" si="8"/>
        <v>10580</v>
      </c>
      <c r="I105" s="35">
        <f t="shared" si="4"/>
        <v>95</v>
      </c>
      <c r="J105" s="35">
        <f>E105*100/H105</f>
        <v>100</v>
      </c>
    </row>
    <row r="106" spans="1:10" ht="15.75">
      <c r="A106" s="19" t="s">
        <v>170</v>
      </c>
      <c r="B106" s="19" t="s">
        <v>41</v>
      </c>
      <c r="C106" s="20" t="s">
        <v>43</v>
      </c>
      <c r="D106" s="116">
        <f>'РОСПИСЬ на 31122016'!D106</f>
        <v>300</v>
      </c>
      <c r="E106" s="130">
        <v>121.3</v>
      </c>
      <c r="F106" s="130">
        <v>121.3</v>
      </c>
      <c r="G106" s="116">
        <f>G107+G108</f>
        <v>0</v>
      </c>
      <c r="H106" s="119">
        <f t="shared" si="8"/>
        <v>121.3</v>
      </c>
      <c r="I106" s="35">
        <f t="shared" si="4"/>
        <v>40</v>
      </c>
      <c r="J106" s="35">
        <f>E106*100/H106</f>
        <v>100</v>
      </c>
    </row>
    <row r="107" spans="1:10" ht="15.75">
      <c r="A107" s="16" t="s">
        <v>53</v>
      </c>
      <c r="B107" s="47"/>
      <c r="C107" s="15" t="s">
        <v>11</v>
      </c>
      <c r="D107" s="115">
        <f>SUM(D108)</f>
        <v>49.2</v>
      </c>
      <c r="E107" s="115">
        <f>SUM(E108)</f>
        <v>0</v>
      </c>
      <c r="F107" s="115">
        <f>SUM(F108)</f>
        <v>0</v>
      </c>
      <c r="G107" s="115">
        <f>SUM(G108)</f>
        <v>0</v>
      </c>
      <c r="H107" s="115">
        <f>SUM(H108)</f>
        <v>0</v>
      </c>
      <c r="I107" s="35">
        <f t="shared" si="4"/>
        <v>0</v>
      </c>
      <c r="J107" s="35">
        <v>0</v>
      </c>
    </row>
    <row r="108" spans="1:10" ht="94.5">
      <c r="A108" s="19" t="s">
        <v>204</v>
      </c>
      <c r="B108" s="19" t="s">
        <v>54</v>
      </c>
      <c r="C108" s="12" t="s">
        <v>28</v>
      </c>
      <c r="D108" s="116">
        <f>'РОСПИСЬ на 31122016'!D108</f>
        <v>49.2</v>
      </c>
      <c r="E108" s="130">
        <v>0</v>
      </c>
      <c r="F108" s="130">
        <v>0</v>
      </c>
      <c r="G108" s="116">
        <v>0</v>
      </c>
      <c r="H108" s="119">
        <f>G108+E108</f>
        <v>0</v>
      </c>
      <c r="I108" s="35">
        <f t="shared" si="4"/>
        <v>0</v>
      </c>
      <c r="J108" s="35">
        <v>0</v>
      </c>
    </row>
    <row r="109" spans="1:10" ht="31.5">
      <c r="A109" s="23" t="s">
        <v>12</v>
      </c>
      <c r="B109" s="23"/>
      <c r="C109" s="31" t="s">
        <v>13</v>
      </c>
      <c r="D109" s="96">
        <f>D110+D111+D112+D122+D127+D131</f>
        <v>130597.5</v>
      </c>
      <c r="E109" s="96">
        <f>E110+E111+E112+E122+E127+E131</f>
        <v>120491.3</v>
      </c>
      <c r="F109" s="96">
        <f>F110+F111+F112+F122+F127+F131</f>
        <v>120491.3</v>
      </c>
      <c r="G109" s="96">
        <f>G110+G111+G112+G122+G127+G131</f>
        <v>2479.5</v>
      </c>
      <c r="H109" s="96">
        <f>H110+H111+H112+H122+H127+H131</f>
        <v>122740.3</v>
      </c>
      <c r="I109" s="62">
        <f t="shared" si="4"/>
        <v>92</v>
      </c>
      <c r="J109" s="62">
        <f>E109*100/H109</f>
        <v>98</v>
      </c>
    </row>
    <row r="110" spans="1:10" ht="126">
      <c r="A110" s="16" t="s">
        <v>172</v>
      </c>
      <c r="B110" s="16"/>
      <c r="C110" s="17" t="s">
        <v>203</v>
      </c>
      <c r="D110" s="116">
        <f>'РОСПИСЬ на 31122016'!D110</f>
        <v>90112.1</v>
      </c>
      <c r="E110" s="116">
        <v>83524.5</v>
      </c>
      <c r="F110" s="116">
        <v>83524.5</v>
      </c>
      <c r="G110" s="116">
        <v>2479.5</v>
      </c>
      <c r="H110" s="119">
        <f>G110+E110</f>
        <v>86004</v>
      </c>
      <c r="I110" s="35">
        <f t="shared" si="4"/>
        <v>93</v>
      </c>
      <c r="J110" s="35">
        <f>E110*100/H110</f>
        <v>97</v>
      </c>
    </row>
    <row r="111" spans="1:10" ht="31.5">
      <c r="A111" s="111" t="s">
        <v>201</v>
      </c>
      <c r="B111" s="112">
        <v>262200</v>
      </c>
      <c r="C111" s="112" t="s">
        <v>202</v>
      </c>
      <c r="D111" s="116">
        <f>'РОСПИСЬ на 31122016'!D111</f>
        <v>25000</v>
      </c>
      <c r="E111" s="120">
        <v>23376</v>
      </c>
      <c r="F111" s="120">
        <v>23376</v>
      </c>
      <c r="G111" s="120">
        <v>0</v>
      </c>
      <c r="H111" s="119">
        <f t="shared" si="8"/>
        <v>23376</v>
      </c>
      <c r="I111" s="35">
        <f t="shared" si="4"/>
        <v>94</v>
      </c>
      <c r="J111" s="35">
        <f>E111*100/H111</f>
        <v>100</v>
      </c>
    </row>
    <row r="112" spans="1:10" ht="63">
      <c r="A112" s="19"/>
      <c r="B112" s="19"/>
      <c r="C112" s="17" t="s">
        <v>117</v>
      </c>
      <c r="D112" s="96">
        <f>SUM(D113:D121)</f>
        <v>8287.2</v>
      </c>
      <c r="E112" s="96">
        <f>SUM(E113:E121)</f>
        <v>6673.9</v>
      </c>
      <c r="F112" s="96">
        <f>SUM(F113:F121)</f>
        <v>6673.9</v>
      </c>
      <c r="G112" s="96">
        <f>SUM(G113:G121)</f>
        <v>0</v>
      </c>
      <c r="H112" s="96">
        <f>SUM(H113:H121)</f>
        <v>6443.4</v>
      </c>
      <c r="I112" s="35">
        <f t="shared" si="4"/>
        <v>81</v>
      </c>
      <c r="J112" s="35">
        <f>E112*100/H112</f>
        <v>104</v>
      </c>
    </row>
    <row r="113" spans="1:10" ht="31.5">
      <c r="A113" s="19" t="s">
        <v>213</v>
      </c>
      <c r="B113" s="19" t="s">
        <v>46</v>
      </c>
      <c r="C113" s="4" t="s">
        <v>61</v>
      </c>
      <c r="D113" s="149">
        <f>'РОСПИСЬ на 31122016'!D113</f>
        <v>1530</v>
      </c>
      <c r="E113" s="130">
        <v>1530</v>
      </c>
      <c r="F113" s="130">
        <v>1530</v>
      </c>
      <c r="G113" s="116">
        <f>G114+G115</f>
        <v>0</v>
      </c>
      <c r="H113" s="116">
        <f>H114+H115</f>
        <v>1299.5</v>
      </c>
      <c r="I113" s="35">
        <f t="shared" si="4"/>
        <v>100</v>
      </c>
      <c r="J113" s="35">
        <v>0</v>
      </c>
    </row>
    <row r="114" spans="1:10" ht="31.5">
      <c r="A114" s="19" t="s">
        <v>160</v>
      </c>
      <c r="B114" s="19" t="s">
        <v>46</v>
      </c>
      <c r="C114" s="4" t="s">
        <v>61</v>
      </c>
      <c r="D114" s="149">
        <f>'РОСПИСЬ на 31122016'!D114</f>
        <v>1978.7</v>
      </c>
      <c r="E114" s="116">
        <v>1263.3</v>
      </c>
      <c r="F114" s="116">
        <v>1263.3</v>
      </c>
      <c r="G114" s="116">
        <f>G115+G116</f>
        <v>0</v>
      </c>
      <c r="H114" s="119">
        <f t="shared" si="8"/>
        <v>1263.3</v>
      </c>
      <c r="I114" s="35">
        <f t="shared" si="4"/>
        <v>64</v>
      </c>
      <c r="J114" s="35">
        <v>0</v>
      </c>
    </row>
    <row r="115" spans="1:10" ht="15.75">
      <c r="A115" s="19" t="s">
        <v>160</v>
      </c>
      <c r="B115" s="19" t="s">
        <v>41</v>
      </c>
      <c r="C115" s="20" t="s">
        <v>43</v>
      </c>
      <c r="D115" s="149">
        <f>'РОСПИСЬ на 31122016'!D115</f>
        <v>284.3</v>
      </c>
      <c r="E115" s="125">
        <v>36.2</v>
      </c>
      <c r="F115" s="125">
        <v>36.2</v>
      </c>
      <c r="G115" s="119">
        <v>0</v>
      </c>
      <c r="H115" s="119">
        <f t="shared" si="8"/>
        <v>36.2</v>
      </c>
      <c r="I115" s="35">
        <f t="shared" si="4"/>
        <v>13</v>
      </c>
      <c r="J115" s="35">
        <v>0</v>
      </c>
    </row>
    <row r="116" spans="1:10" ht="94.5">
      <c r="A116" s="19" t="s">
        <v>160</v>
      </c>
      <c r="B116" s="19" t="s">
        <v>214</v>
      </c>
      <c r="C116" s="135" t="s">
        <v>220</v>
      </c>
      <c r="D116" s="149">
        <f>'РОСПИСЬ на 31122016'!D116</f>
        <v>99.5</v>
      </c>
      <c r="E116" s="119">
        <v>99.5</v>
      </c>
      <c r="F116" s="119">
        <v>99.5</v>
      </c>
      <c r="G116" s="119">
        <v>0</v>
      </c>
      <c r="H116" s="119">
        <f t="shared" si="8"/>
        <v>99.5</v>
      </c>
      <c r="I116" s="35">
        <f t="shared" si="4"/>
        <v>100</v>
      </c>
      <c r="J116" s="35">
        <v>0</v>
      </c>
    </row>
    <row r="117" spans="1:10" ht="31.5">
      <c r="A117" s="19" t="s">
        <v>160</v>
      </c>
      <c r="B117" s="19" t="s">
        <v>47</v>
      </c>
      <c r="C117" s="135" t="s">
        <v>55</v>
      </c>
      <c r="D117" s="149">
        <f>'РОСПИСЬ на 31122016'!D117</f>
        <v>2400</v>
      </c>
      <c r="E117" s="119">
        <v>2041</v>
      </c>
      <c r="F117" s="119">
        <v>2041</v>
      </c>
      <c r="G117" s="119">
        <v>0</v>
      </c>
      <c r="H117" s="119">
        <f t="shared" si="8"/>
        <v>2041</v>
      </c>
      <c r="I117" s="35">
        <f t="shared" si="4"/>
        <v>85</v>
      </c>
      <c r="J117" s="35">
        <v>0</v>
      </c>
    </row>
    <row r="118" spans="1:10" ht="31.5">
      <c r="A118" s="19" t="s">
        <v>160</v>
      </c>
      <c r="B118" s="19" t="s">
        <v>215</v>
      </c>
      <c r="C118" s="135" t="s">
        <v>221</v>
      </c>
      <c r="D118" s="149">
        <f>'РОСПИСЬ на 31122016'!D118</f>
        <v>216.2</v>
      </c>
      <c r="E118" s="119">
        <v>199.7</v>
      </c>
      <c r="F118" s="119">
        <v>199.7</v>
      </c>
      <c r="G118" s="119">
        <v>0</v>
      </c>
      <c r="H118" s="119">
        <f t="shared" si="8"/>
        <v>199.7</v>
      </c>
      <c r="I118" s="35">
        <f t="shared" si="4"/>
        <v>92</v>
      </c>
      <c r="J118" s="35">
        <v>0</v>
      </c>
    </row>
    <row r="119" spans="1:10" ht="15.75">
      <c r="A119" s="19" t="s">
        <v>216</v>
      </c>
      <c r="B119" s="19" t="s">
        <v>42</v>
      </c>
      <c r="C119" s="135" t="s">
        <v>222</v>
      </c>
      <c r="D119" s="149">
        <f>'РОСПИСЬ на 31122016'!D119</f>
        <v>382.9</v>
      </c>
      <c r="E119" s="119">
        <v>290</v>
      </c>
      <c r="F119" s="119">
        <v>290</v>
      </c>
      <c r="G119" s="119">
        <v>0</v>
      </c>
      <c r="H119" s="119">
        <f t="shared" si="8"/>
        <v>290</v>
      </c>
      <c r="I119" s="35">
        <f t="shared" si="4"/>
        <v>76</v>
      </c>
      <c r="J119" s="35">
        <v>0</v>
      </c>
    </row>
    <row r="120" spans="1:10" ht="15.75">
      <c r="A120" s="19" t="s">
        <v>160</v>
      </c>
      <c r="B120" s="19" t="s">
        <v>185</v>
      </c>
      <c r="C120" s="20" t="s">
        <v>43</v>
      </c>
      <c r="D120" s="149">
        <f>'РОСПИСЬ на 31122016'!D120</f>
        <v>1214.2</v>
      </c>
      <c r="E120" s="119">
        <v>1214.2</v>
      </c>
      <c r="F120" s="119">
        <v>1214.2</v>
      </c>
      <c r="G120" s="119">
        <v>0</v>
      </c>
      <c r="H120" s="119">
        <f t="shared" si="8"/>
        <v>1214.2</v>
      </c>
      <c r="I120" s="35">
        <f t="shared" si="4"/>
        <v>100</v>
      </c>
      <c r="J120" s="35">
        <f>E120*100/H120</f>
        <v>100</v>
      </c>
    </row>
    <row r="121" spans="1:10" ht="15.75">
      <c r="A121" s="19" t="s">
        <v>193</v>
      </c>
      <c r="B121" s="19" t="s">
        <v>41</v>
      </c>
      <c r="C121" s="20" t="s">
        <v>43</v>
      </c>
      <c r="D121" s="149">
        <f>'РОСПИСЬ на 31122016'!D121</f>
        <v>181.4</v>
      </c>
      <c r="E121" s="119">
        <v>0</v>
      </c>
      <c r="F121" s="119">
        <v>0</v>
      </c>
      <c r="G121" s="119">
        <v>0</v>
      </c>
      <c r="H121" s="119">
        <f t="shared" si="8"/>
        <v>0</v>
      </c>
      <c r="I121" s="35">
        <f t="shared" si="4"/>
        <v>0</v>
      </c>
      <c r="J121" s="35">
        <v>0</v>
      </c>
    </row>
    <row r="122" spans="1:10" ht="63">
      <c r="A122" s="19"/>
      <c r="B122" s="19"/>
      <c r="C122" s="17" t="s">
        <v>217</v>
      </c>
      <c r="D122" s="113">
        <f>D123+D124+D125+D126</f>
        <v>1604.7</v>
      </c>
      <c r="E122" s="96">
        <f>E123+E124+E125+E126</f>
        <v>1604.7</v>
      </c>
      <c r="F122" s="96">
        <f>F123+F124+F125+F126</f>
        <v>1604.7</v>
      </c>
      <c r="G122" s="115">
        <f>G123+G124+G125+G126</f>
        <v>0</v>
      </c>
      <c r="H122" s="96">
        <f>H123+H124+H125+H126</f>
        <v>1604.7</v>
      </c>
      <c r="I122" s="62">
        <f t="shared" si="4"/>
        <v>100</v>
      </c>
      <c r="J122" s="62">
        <v>0</v>
      </c>
    </row>
    <row r="123" spans="1:10" ht="31.5">
      <c r="A123" s="19" t="s">
        <v>219</v>
      </c>
      <c r="B123" s="19" t="s">
        <v>46</v>
      </c>
      <c r="C123" s="4" t="s">
        <v>61</v>
      </c>
      <c r="D123" s="149">
        <f>'РОСПИСЬ на 31122016'!D123</f>
        <v>460</v>
      </c>
      <c r="E123" s="145">
        <v>460</v>
      </c>
      <c r="F123" s="145">
        <v>460</v>
      </c>
      <c r="G123" s="119">
        <v>0</v>
      </c>
      <c r="H123" s="119">
        <f>G123+E123</f>
        <v>460</v>
      </c>
      <c r="I123" s="35">
        <f t="shared" si="4"/>
        <v>100</v>
      </c>
      <c r="J123" s="35">
        <v>0</v>
      </c>
    </row>
    <row r="124" spans="1:10" ht="31.5">
      <c r="A124" s="19" t="s">
        <v>218</v>
      </c>
      <c r="B124" s="19" t="s">
        <v>46</v>
      </c>
      <c r="C124" s="4" t="s">
        <v>61</v>
      </c>
      <c r="D124" s="149">
        <f>'РОСПИСЬ на 31122016'!D124</f>
        <v>601.4</v>
      </c>
      <c r="E124" s="145">
        <v>601.4</v>
      </c>
      <c r="F124" s="145">
        <v>601.4</v>
      </c>
      <c r="G124" s="119">
        <v>0</v>
      </c>
      <c r="H124" s="119">
        <f t="shared" si="8"/>
        <v>601.4</v>
      </c>
      <c r="I124" s="35">
        <f t="shared" si="4"/>
        <v>100</v>
      </c>
      <c r="J124" s="35">
        <v>0</v>
      </c>
    </row>
    <row r="125" spans="1:10" ht="15.75">
      <c r="A125" s="19" t="s">
        <v>218</v>
      </c>
      <c r="B125" s="19" t="s">
        <v>41</v>
      </c>
      <c r="C125" s="20" t="s">
        <v>43</v>
      </c>
      <c r="D125" s="149">
        <f>'РОСПИСЬ на 31122016'!D125</f>
        <v>423.3</v>
      </c>
      <c r="E125" s="145">
        <v>423.3</v>
      </c>
      <c r="F125" s="145">
        <v>423.3</v>
      </c>
      <c r="G125" s="119">
        <v>0</v>
      </c>
      <c r="H125" s="119">
        <f t="shared" si="8"/>
        <v>423.3</v>
      </c>
      <c r="I125" s="35">
        <f t="shared" si="4"/>
        <v>100</v>
      </c>
      <c r="J125" s="35">
        <v>0</v>
      </c>
    </row>
    <row r="126" spans="1:10" ht="31.5">
      <c r="A126" s="19" t="s">
        <v>218</v>
      </c>
      <c r="B126" s="19" t="s">
        <v>47</v>
      </c>
      <c r="C126" s="135" t="s">
        <v>221</v>
      </c>
      <c r="D126" s="149">
        <f>'РОСПИСЬ на 31122016'!D126</f>
        <v>120</v>
      </c>
      <c r="E126" s="145">
        <v>120</v>
      </c>
      <c r="F126" s="145">
        <v>120</v>
      </c>
      <c r="G126" s="119">
        <v>0</v>
      </c>
      <c r="H126" s="119">
        <f t="shared" si="8"/>
        <v>120</v>
      </c>
      <c r="I126" s="35">
        <f t="shared" si="4"/>
        <v>100</v>
      </c>
      <c r="J126" s="35">
        <v>0</v>
      </c>
    </row>
    <row r="127" spans="1:10" ht="31.5">
      <c r="A127" s="15"/>
      <c r="B127" s="11"/>
      <c r="C127" s="17" t="s">
        <v>70</v>
      </c>
      <c r="D127" s="95">
        <f>D128+D129+D130</f>
        <v>3919.5</v>
      </c>
      <c r="E127" s="95">
        <f>E128+E129+E130</f>
        <v>3695.8</v>
      </c>
      <c r="F127" s="95">
        <f>F128+F129+F130</f>
        <v>3695.8</v>
      </c>
      <c r="G127" s="95">
        <f>G128+G129+G130</f>
        <v>0</v>
      </c>
      <c r="H127" s="95">
        <f>H128+H129+H130</f>
        <v>3695.8</v>
      </c>
      <c r="I127" s="62">
        <f t="shared" si="4"/>
        <v>94</v>
      </c>
      <c r="J127" s="62">
        <v>0</v>
      </c>
    </row>
    <row r="128" spans="1:10" ht="31.5">
      <c r="A128" s="11" t="s">
        <v>173</v>
      </c>
      <c r="B128" s="11" t="s">
        <v>46</v>
      </c>
      <c r="C128" s="4" t="s">
        <v>61</v>
      </c>
      <c r="D128" s="102">
        <v>2103.2</v>
      </c>
      <c r="E128" s="148">
        <v>2103.2</v>
      </c>
      <c r="F128" s="148">
        <v>2103.2</v>
      </c>
      <c r="G128" s="119">
        <v>0</v>
      </c>
      <c r="H128" s="119">
        <f>G128+E128</f>
        <v>2103.2</v>
      </c>
      <c r="I128" s="35">
        <f t="shared" si="4"/>
        <v>100</v>
      </c>
      <c r="J128" s="35">
        <v>0</v>
      </c>
    </row>
    <row r="129" spans="1:10" ht="31.5">
      <c r="A129" s="11" t="s">
        <v>233</v>
      </c>
      <c r="B129" s="11" t="s">
        <v>46</v>
      </c>
      <c r="C129" s="4" t="s">
        <v>61</v>
      </c>
      <c r="D129" s="102">
        <v>1541.2</v>
      </c>
      <c r="E129" s="148">
        <v>1382.6</v>
      </c>
      <c r="F129" s="148">
        <v>1382.6</v>
      </c>
      <c r="G129" s="119">
        <v>0</v>
      </c>
      <c r="H129" s="119">
        <f>G129+E129</f>
        <v>1382.6</v>
      </c>
      <c r="I129" s="35">
        <f t="shared" si="4"/>
        <v>90</v>
      </c>
      <c r="J129" s="35">
        <f>E129*100/H129</f>
        <v>100</v>
      </c>
    </row>
    <row r="130" spans="1:10" ht="15.75">
      <c r="A130" s="11" t="s">
        <v>173</v>
      </c>
      <c r="B130" s="12">
        <v>226900</v>
      </c>
      <c r="C130" s="107" t="s">
        <v>197</v>
      </c>
      <c r="D130" s="103">
        <v>275.1</v>
      </c>
      <c r="E130" s="145">
        <v>210</v>
      </c>
      <c r="F130" s="145">
        <v>210</v>
      </c>
      <c r="G130" s="119">
        <v>0</v>
      </c>
      <c r="H130" s="119">
        <f>G130+E130</f>
        <v>210</v>
      </c>
      <c r="I130" s="35">
        <f t="shared" si="4"/>
        <v>76</v>
      </c>
      <c r="J130" s="35">
        <f>E130*100/H130</f>
        <v>100</v>
      </c>
    </row>
    <row r="131" spans="1:10" ht="31.5">
      <c r="A131" s="108"/>
      <c r="B131" s="108"/>
      <c r="C131" s="17" t="s">
        <v>198</v>
      </c>
      <c r="D131" s="110">
        <f>D132+D133</f>
        <v>1674</v>
      </c>
      <c r="E131" s="110">
        <f>E132+E133</f>
        <v>1616.4</v>
      </c>
      <c r="F131" s="110">
        <f>F132+F133</f>
        <v>1616.4</v>
      </c>
      <c r="G131" s="119">
        <v>0</v>
      </c>
      <c r="H131" s="110">
        <f>H132+H133</f>
        <v>1616.4</v>
      </c>
      <c r="I131" s="62">
        <f t="shared" si="4"/>
        <v>97</v>
      </c>
      <c r="J131" s="62">
        <f>E131*100/H131</f>
        <v>100</v>
      </c>
    </row>
    <row r="132" spans="1:10" ht="31.5">
      <c r="A132" s="11" t="s">
        <v>199</v>
      </c>
      <c r="B132" s="11" t="s">
        <v>46</v>
      </c>
      <c r="C132" s="4" t="s">
        <v>61</v>
      </c>
      <c r="D132" s="109">
        <v>1398.9</v>
      </c>
      <c r="E132" s="148">
        <v>1353.9</v>
      </c>
      <c r="F132" s="148">
        <v>1353.9</v>
      </c>
      <c r="G132" s="119">
        <v>0</v>
      </c>
      <c r="H132" s="119">
        <f>G132+E132</f>
        <v>1353.9</v>
      </c>
      <c r="I132" s="35">
        <f t="shared" si="4"/>
        <v>97</v>
      </c>
      <c r="J132" s="35">
        <f>E132*100/H132</f>
        <v>100</v>
      </c>
    </row>
    <row r="133" spans="1:10" ht="15.75">
      <c r="A133" s="11" t="s">
        <v>200</v>
      </c>
      <c r="B133" s="19" t="s">
        <v>41</v>
      </c>
      <c r="C133" s="20" t="s">
        <v>43</v>
      </c>
      <c r="D133" s="109">
        <v>275.1</v>
      </c>
      <c r="E133" s="165">
        <v>262.5</v>
      </c>
      <c r="F133" s="165">
        <v>262.5</v>
      </c>
      <c r="G133" s="119">
        <v>0</v>
      </c>
      <c r="H133" s="119">
        <f>G133+E133</f>
        <v>262.5</v>
      </c>
      <c r="I133" s="35">
        <f t="shared" si="4"/>
        <v>95</v>
      </c>
      <c r="J133" s="35">
        <f>E133*100/H133</f>
        <v>100</v>
      </c>
    </row>
  </sheetData>
  <sheetProtection/>
  <mergeCells count="7">
    <mergeCell ref="A2:J2"/>
    <mergeCell ref="A3:A4"/>
    <mergeCell ref="B3:B4"/>
    <mergeCell ref="C3:C4"/>
    <mergeCell ref="D3:H3"/>
    <mergeCell ref="I3:I4"/>
    <mergeCell ref="J3:J4"/>
  </mergeCells>
  <printOptions horizontalCentered="1"/>
  <pageMargins left="0.1968503937007874" right="0.1968503937007874" top="0.2362204724409449" bottom="0.2362204724409449" header="0.31496062992125984" footer="0.31496062992125984"/>
  <pageSetup fitToHeight="6" horizontalDpi="600" verticalDpi="600" orientation="landscape" paperSize="9" scale="74" r:id="rId1"/>
  <rowBreaks count="1" manualBreakCount="1">
    <brk id="1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3:K136"/>
  <sheetViews>
    <sheetView view="pageBreakPreview" zoomScaleSheetLayoutView="100" zoomScalePageLayoutView="0" workbookViewId="0" topLeftCell="A1">
      <pane xSplit="4" ySplit="5" topLeftCell="E4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D49" sqref="D49:D55"/>
    </sheetView>
  </sheetViews>
  <sheetFormatPr defaultColWidth="9.140625" defaultRowHeight="12.75"/>
  <cols>
    <col min="1" max="1" width="28.140625" style="5" customWidth="1"/>
    <col min="2" max="2" width="10.8515625" style="5" customWidth="1"/>
    <col min="3" max="3" width="43.28125" style="5" customWidth="1"/>
    <col min="4" max="4" width="18.140625" style="57" customWidth="1"/>
    <col min="5" max="5" width="16.140625" style="5" customWidth="1"/>
    <col min="6" max="6" width="15.7109375" style="5" customWidth="1"/>
    <col min="7" max="7" width="16.7109375" style="5" customWidth="1"/>
    <col min="8" max="10" width="7.421875" style="5" customWidth="1"/>
    <col min="11" max="11" width="10.7109375" style="5" bestFit="1" customWidth="1"/>
    <col min="12" max="16384" width="9.140625" style="5" customWidth="1"/>
  </cols>
  <sheetData>
    <row r="3" spans="1:4" ht="88.5" customHeight="1">
      <c r="A3" s="170" t="s">
        <v>231</v>
      </c>
      <c r="B3" s="170"/>
      <c r="C3" s="170"/>
      <c r="D3" s="170"/>
    </row>
    <row r="4" spans="1:5" s="8" customFormat="1" ht="31.5">
      <c r="A4" s="6" t="s">
        <v>0</v>
      </c>
      <c r="B4" s="6" t="s">
        <v>17</v>
      </c>
      <c r="C4" s="6" t="s">
        <v>1</v>
      </c>
      <c r="D4" s="54" t="s">
        <v>118</v>
      </c>
      <c r="E4" s="105"/>
    </row>
    <row r="5" spans="1:5" s="8" customFormat="1" ht="15.75">
      <c r="A5" s="6">
        <v>1</v>
      </c>
      <c r="B5" s="6">
        <f>A5+1</f>
        <v>2</v>
      </c>
      <c r="C5" s="6">
        <f>B5+1</f>
        <v>3</v>
      </c>
      <c r="D5" s="54">
        <f>C5+1</f>
        <v>4</v>
      </c>
      <c r="E5" s="105"/>
    </row>
    <row r="6" spans="1:5" s="8" customFormat="1" ht="31.5">
      <c r="A6" s="6"/>
      <c r="B6" s="6"/>
      <c r="C6" s="9" t="s">
        <v>183</v>
      </c>
      <c r="D6" s="95">
        <f>D7+D10+D15+D20</f>
        <v>4654193.2</v>
      </c>
      <c r="E6" s="105"/>
    </row>
    <row r="7" spans="1:5" s="8" customFormat="1" ht="15.75">
      <c r="A7" s="9" t="s">
        <v>5</v>
      </c>
      <c r="B7" s="6"/>
      <c r="C7" s="9" t="s">
        <v>4</v>
      </c>
      <c r="D7" s="96">
        <f>D8+D9</f>
        <v>18508.4</v>
      </c>
      <c r="E7" s="105"/>
    </row>
    <row r="8" spans="1:5" s="13" customFormat="1" ht="89.25" customHeight="1">
      <c r="A8" s="11" t="s">
        <v>190</v>
      </c>
      <c r="B8" s="12">
        <v>242000</v>
      </c>
      <c r="C8" s="12" t="s">
        <v>189</v>
      </c>
      <c r="D8" s="97">
        <v>18358.4</v>
      </c>
      <c r="E8" s="105"/>
    </row>
    <row r="9" spans="1:5" s="13" customFormat="1" ht="49.5" customHeight="1">
      <c r="A9" s="11" t="s">
        <v>178</v>
      </c>
      <c r="B9" s="12">
        <v>290900</v>
      </c>
      <c r="C9" s="12" t="s">
        <v>181</v>
      </c>
      <c r="D9" s="97">
        <v>150</v>
      </c>
      <c r="E9" s="105"/>
    </row>
    <row r="10" spans="1:5" s="13" customFormat="1" ht="15.75">
      <c r="A10" s="9" t="s">
        <v>6</v>
      </c>
      <c r="B10" s="9"/>
      <c r="C10" s="9" t="s">
        <v>7</v>
      </c>
      <c r="D10" s="96">
        <f>SUM(D11:D14)</f>
        <v>380.7</v>
      </c>
      <c r="E10" s="105"/>
    </row>
    <row r="11" spans="1:5" s="14" customFormat="1" ht="32.25" customHeight="1">
      <c r="A11" s="11" t="s">
        <v>179</v>
      </c>
      <c r="B11" s="12">
        <v>226900</v>
      </c>
      <c r="C11" s="12" t="s">
        <v>20</v>
      </c>
      <c r="D11" s="97">
        <v>200</v>
      </c>
      <c r="E11" s="105"/>
    </row>
    <row r="12" spans="1:5" s="14" customFormat="1" ht="22.5" customHeight="1">
      <c r="A12" s="11" t="s">
        <v>180</v>
      </c>
      <c r="B12" s="12">
        <v>212101</v>
      </c>
      <c r="C12" s="12" t="s">
        <v>58</v>
      </c>
      <c r="D12" s="97">
        <v>40</v>
      </c>
      <c r="E12" s="105"/>
    </row>
    <row r="13" spans="1:5" s="14" customFormat="1" ht="31.5">
      <c r="A13" s="11" t="s">
        <v>180</v>
      </c>
      <c r="B13" s="12">
        <v>222101</v>
      </c>
      <c r="C13" s="12" t="s">
        <v>56</v>
      </c>
      <c r="D13" s="97">
        <v>15</v>
      </c>
      <c r="E13" s="105"/>
    </row>
    <row r="14" spans="1:5" s="14" customFormat="1" ht="47.25">
      <c r="A14" s="11" t="s">
        <v>180</v>
      </c>
      <c r="B14" s="12">
        <v>212103</v>
      </c>
      <c r="C14" s="12" t="s">
        <v>57</v>
      </c>
      <c r="D14" s="97">
        <v>125.7</v>
      </c>
      <c r="E14" s="105"/>
    </row>
    <row r="15" spans="1:5" s="14" customFormat="1" ht="47.25">
      <c r="A15" s="15"/>
      <c r="B15" s="9"/>
      <c r="C15" s="9" t="s">
        <v>112</v>
      </c>
      <c r="D15" s="96">
        <f>D16+D17+D18+D19</f>
        <v>113627.5</v>
      </c>
      <c r="E15" s="105"/>
    </row>
    <row r="16" spans="1:5" s="14" customFormat="1" ht="31.5">
      <c r="A16" s="11" t="s">
        <v>127</v>
      </c>
      <c r="B16" s="12">
        <v>226900</v>
      </c>
      <c r="C16" s="12" t="s">
        <v>30</v>
      </c>
      <c r="D16" s="97">
        <v>50993.6</v>
      </c>
      <c r="E16" s="105"/>
    </row>
    <row r="17" spans="1:5" s="14" customFormat="1" ht="15.75">
      <c r="A17" s="11" t="s">
        <v>128</v>
      </c>
      <c r="B17" s="12">
        <v>262200</v>
      </c>
      <c r="C17" s="12" t="s">
        <v>68</v>
      </c>
      <c r="D17" s="97">
        <v>1500</v>
      </c>
      <c r="E17" s="105"/>
    </row>
    <row r="18" spans="1:5" s="14" customFormat="1" ht="31.5">
      <c r="A18" s="11" t="s">
        <v>126</v>
      </c>
      <c r="B18" s="12">
        <v>251000</v>
      </c>
      <c r="C18" s="12" t="s">
        <v>30</v>
      </c>
      <c r="D18" s="97">
        <v>11831.4</v>
      </c>
      <c r="E18" s="105"/>
    </row>
    <row r="19" spans="1:5" s="14" customFormat="1" ht="47.25">
      <c r="A19" s="11" t="s">
        <v>191</v>
      </c>
      <c r="B19" s="12">
        <v>226900</v>
      </c>
      <c r="C19" s="12" t="s">
        <v>192</v>
      </c>
      <c r="D19" s="97">
        <v>49302.5</v>
      </c>
      <c r="E19" s="105"/>
    </row>
    <row r="20" spans="1:5" s="14" customFormat="1" ht="15.75">
      <c r="A20" s="2" t="s">
        <v>92</v>
      </c>
      <c r="B20" s="33"/>
      <c r="C20" s="1" t="s">
        <v>93</v>
      </c>
      <c r="D20" s="96">
        <f>D21+D24+D57+D109+D47</f>
        <v>4521676.6</v>
      </c>
      <c r="E20" s="105"/>
    </row>
    <row r="21" spans="1:5" s="18" customFormat="1" ht="47.25">
      <c r="A21" s="16" t="s">
        <v>62</v>
      </c>
      <c r="B21" s="16"/>
      <c r="C21" s="17" t="s">
        <v>21</v>
      </c>
      <c r="D21" s="96">
        <f>SUM(D22:D23)</f>
        <v>284443.1</v>
      </c>
      <c r="E21" s="105"/>
    </row>
    <row r="22" spans="1:5" s="18" customFormat="1" ht="47.25">
      <c r="A22" s="19" t="s">
        <v>129</v>
      </c>
      <c r="B22" s="19" t="s">
        <v>44</v>
      </c>
      <c r="C22" s="20" t="s">
        <v>63</v>
      </c>
      <c r="D22" s="97">
        <v>170776.7</v>
      </c>
      <c r="E22" s="105"/>
    </row>
    <row r="23" spans="1:5" s="18" customFormat="1" ht="63">
      <c r="A23" s="19" t="s">
        <v>130</v>
      </c>
      <c r="B23" s="19" t="s">
        <v>44</v>
      </c>
      <c r="C23" s="20" t="s">
        <v>64</v>
      </c>
      <c r="D23" s="97">
        <v>113666.4</v>
      </c>
      <c r="E23" s="105"/>
    </row>
    <row r="24" spans="1:5" s="18" customFormat="1" ht="15.75">
      <c r="A24" s="16" t="s">
        <v>71</v>
      </c>
      <c r="B24" s="16"/>
      <c r="C24" s="17" t="s">
        <v>72</v>
      </c>
      <c r="D24" s="96">
        <f>D25+D36</f>
        <v>872194.3</v>
      </c>
      <c r="E24" s="105"/>
    </row>
    <row r="25" spans="1:5" s="18" customFormat="1" ht="31.5">
      <c r="A25" s="16" t="s">
        <v>131</v>
      </c>
      <c r="B25" s="16"/>
      <c r="C25" s="3" t="s">
        <v>73</v>
      </c>
      <c r="D25" s="96">
        <f>D26+D34+D35</f>
        <v>294410</v>
      </c>
      <c r="E25" s="105"/>
    </row>
    <row r="26" spans="1:5" s="43" customFormat="1" ht="31.5">
      <c r="A26" s="44"/>
      <c r="B26" s="44"/>
      <c r="C26" s="42" t="s">
        <v>74</v>
      </c>
      <c r="D26" s="97">
        <f>D27+D28+D29+D30+D31+D32+D33</f>
        <v>211775.9</v>
      </c>
      <c r="E26" s="105"/>
    </row>
    <row r="27" spans="1:5" s="43" customFormat="1" ht="15.75">
      <c r="A27" s="38" t="s">
        <v>132</v>
      </c>
      <c r="B27" s="41" t="s">
        <v>75</v>
      </c>
      <c r="C27" s="39" t="s">
        <v>86</v>
      </c>
      <c r="D27" s="106">
        <v>159285.57</v>
      </c>
      <c r="E27" s="105"/>
    </row>
    <row r="28" spans="1:5" s="43" customFormat="1" ht="15.75">
      <c r="A28" s="38"/>
      <c r="B28" s="41" t="s">
        <v>31</v>
      </c>
      <c r="C28" s="39" t="s">
        <v>76</v>
      </c>
      <c r="D28" s="97">
        <v>512.2</v>
      </c>
      <c r="E28" s="105"/>
    </row>
    <row r="29" spans="1:5" s="43" customFormat="1" ht="15.75">
      <c r="A29" s="38"/>
      <c r="B29" s="41" t="s">
        <v>77</v>
      </c>
      <c r="C29" s="39" t="s">
        <v>78</v>
      </c>
      <c r="D29" s="97">
        <v>22360.3</v>
      </c>
      <c r="E29" s="105"/>
    </row>
    <row r="30" spans="1:5" s="43" customFormat="1" ht="15.75">
      <c r="A30" s="38"/>
      <c r="B30" s="41" t="s">
        <v>79</v>
      </c>
      <c r="C30" s="39" t="s">
        <v>80</v>
      </c>
      <c r="D30" s="97">
        <v>17769.4</v>
      </c>
      <c r="E30" s="105"/>
    </row>
    <row r="31" spans="1:5" s="43" customFormat="1" ht="15.75">
      <c r="A31" s="38"/>
      <c r="B31" s="41" t="s">
        <v>81</v>
      </c>
      <c r="C31" s="39" t="s">
        <v>82</v>
      </c>
      <c r="D31" s="97">
        <v>711.1</v>
      </c>
      <c r="E31" s="105"/>
    </row>
    <row r="32" spans="1:5" s="43" customFormat="1" ht="15.75">
      <c r="A32" s="38"/>
      <c r="B32" s="41" t="s">
        <v>83</v>
      </c>
      <c r="C32" s="39" t="s">
        <v>84</v>
      </c>
      <c r="D32" s="97">
        <v>8862.2</v>
      </c>
      <c r="E32" s="105"/>
    </row>
    <row r="33" spans="1:11" s="43" customFormat="1" ht="15.75">
      <c r="A33" s="38"/>
      <c r="B33" s="41"/>
      <c r="C33" s="39" t="s">
        <v>85</v>
      </c>
      <c r="D33" s="97">
        <v>2275.1</v>
      </c>
      <c r="E33" s="105"/>
      <c r="G33" s="114">
        <f>D34+D35+D45+D46</f>
        <v>126736.3</v>
      </c>
      <c r="K33" s="114">
        <f>D34+D45</f>
        <v>37517.5</v>
      </c>
    </row>
    <row r="34" spans="1:11" s="43" customFormat="1" ht="15.75">
      <c r="A34" s="27" t="s">
        <v>133</v>
      </c>
      <c r="B34" s="27"/>
      <c r="C34" s="28" t="s">
        <v>87</v>
      </c>
      <c r="D34" s="96">
        <v>965.5</v>
      </c>
      <c r="E34" s="105"/>
      <c r="K34" s="89">
        <f>D35+D46</f>
        <v>89218.8</v>
      </c>
    </row>
    <row r="35" spans="1:7" s="43" customFormat="1" ht="31.5">
      <c r="A35" s="27" t="s">
        <v>134</v>
      </c>
      <c r="B35" s="27"/>
      <c r="C35" s="28" t="s">
        <v>88</v>
      </c>
      <c r="D35" s="96">
        <v>81668.6</v>
      </c>
      <c r="E35" s="105"/>
      <c r="G35" s="89">
        <f>D37+D26</f>
        <v>745458</v>
      </c>
    </row>
    <row r="36" spans="1:5" s="43" customFormat="1" ht="31.5">
      <c r="A36" s="44" t="s">
        <v>131</v>
      </c>
      <c r="B36" s="44"/>
      <c r="C36" s="28" t="s">
        <v>89</v>
      </c>
      <c r="D36" s="96">
        <f>D37+D45+D46</f>
        <v>577784.3</v>
      </c>
      <c r="E36" s="105"/>
    </row>
    <row r="37" spans="1:5" s="43" customFormat="1" ht="31.5">
      <c r="A37" s="44"/>
      <c r="B37" s="44"/>
      <c r="C37" s="42" t="s">
        <v>74</v>
      </c>
      <c r="D37" s="97">
        <f>D38+D39+D40+D41+D42+D43+D44</f>
        <v>533682.1</v>
      </c>
      <c r="E37" s="105"/>
    </row>
    <row r="38" spans="1:5" s="43" customFormat="1" ht="15.75">
      <c r="A38" s="48" t="s">
        <v>132</v>
      </c>
      <c r="B38" s="41" t="s">
        <v>75</v>
      </c>
      <c r="C38" s="39" t="s">
        <v>90</v>
      </c>
      <c r="D38" s="97">
        <v>440427.9</v>
      </c>
      <c r="E38" s="105"/>
    </row>
    <row r="39" spans="1:5" s="43" customFormat="1" ht="15.75">
      <c r="A39" s="44"/>
      <c r="B39" s="41" t="s">
        <v>31</v>
      </c>
      <c r="C39" s="39" t="s">
        <v>76</v>
      </c>
      <c r="D39" s="97">
        <v>2174.6</v>
      </c>
      <c r="E39" s="105"/>
    </row>
    <row r="40" spans="1:5" s="43" customFormat="1" ht="15.75">
      <c r="A40" s="44"/>
      <c r="B40" s="41" t="s">
        <v>77</v>
      </c>
      <c r="C40" s="39" t="s">
        <v>78</v>
      </c>
      <c r="D40" s="97">
        <v>20487</v>
      </c>
      <c r="E40" s="105"/>
    </row>
    <row r="41" spans="1:5" s="43" customFormat="1" ht="15.75">
      <c r="A41" s="44"/>
      <c r="B41" s="41" t="s">
        <v>79</v>
      </c>
      <c r="C41" s="39" t="s">
        <v>80</v>
      </c>
      <c r="D41" s="97">
        <v>36729.1</v>
      </c>
      <c r="E41" s="105"/>
    </row>
    <row r="42" spans="1:5" s="43" customFormat="1" ht="15.75">
      <c r="A42" s="44"/>
      <c r="B42" s="41" t="s">
        <v>81</v>
      </c>
      <c r="C42" s="39" t="s">
        <v>82</v>
      </c>
      <c r="D42" s="97">
        <v>3836.6</v>
      </c>
      <c r="E42" s="105"/>
    </row>
    <row r="43" spans="1:5" s="43" customFormat="1" ht="15.75">
      <c r="A43" s="44"/>
      <c r="B43" s="41" t="s">
        <v>83</v>
      </c>
      <c r="C43" s="39" t="s">
        <v>84</v>
      </c>
      <c r="D43" s="97">
        <v>8802.6</v>
      </c>
      <c r="E43" s="105"/>
    </row>
    <row r="44" spans="1:5" s="43" customFormat="1" ht="15.75">
      <c r="A44" s="44"/>
      <c r="B44" s="41"/>
      <c r="C44" s="39" t="s">
        <v>85</v>
      </c>
      <c r="D44" s="97">
        <f>21206.4+15.77-2.07+4.17</f>
        <v>21224.3</v>
      </c>
      <c r="E44" s="105"/>
    </row>
    <row r="45" spans="1:5" s="43" customFormat="1" ht="15.75">
      <c r="A45" s="27" t="s">
        <v>133</v>
      </c>
      <c r="B45" s="27"/>
      <c r="C45" s="28" t="s">
        <v>87</v>
      </c>
      <c r="D45" s="96">
        <v>36552</v>
      </c>
      <c r="E45" s="105"/>
    </row>
    <row r="46" spans="1:5" s="43" customFormat="1" ht="31.5">
      <c r="A46" s="27" t="s">
        <v>133</v>
      </c>
      <c r="B46" s="27"/>
      <c r="C46" s="28" t="s">
        <v>88</v>
      </c>
      <c r="D46" s="96">
        <v>7550.2</v>
      </c>
      <c r="E46" s="105"/>
    </row>
    <row r="47" spans="1:6" s="43" customFormat="1" ht="47.25">
      <c r="A47" s="27" t="s">
        <v>136</v>
      </c>
      <c r="B47" s="27"/>
      <c r="C47" s="28" t="s">
        <v>106</v>
      </c>
      <c r="D47" s="96">
        <f>D48+D55+D56</f>
        <v>136522.7</v>
      </c>
      <c r="E47" s="105"/>
      <c r="F47" s="114">
        <f>D47+D59+D60</f>
        <v>373098.4</v>
      </c>
    </row>
    <row r="48" spans="1:5" s="43" customFormat="1" ht="47.25">
      <c r="A48" s="27" t="s">
        <v>137</v>
      </c>
      <c r="B48" s="27"/>
      <c r="C48" s="28" t="s">
        <v>111</v>
      </c>
      <c r="D48" s="96">
        <f>D49+D50+D51+D52+D53+D54</f>
        <v>123029.8</v>
      </c>
      <c r="E48" s="105"/>
    </row>
    <row r="49" spans="1:6" s="43" customFormat="1" ht="15.75">
      <c r="A49" s="59"/>
      <c r="B49" s="41" t="s">
        <v>75</v>
      </c>
      <c r="C49" s="39" t="s">
        <v>90</v>
      </c>
      <c r="D49" s="97">
        <v>97008.9</v>
      </c>
      <c r="E49" s="105"/>
      <c r="F49" s="53"/>
    </row>
    <row r="50" spans="1:5" s="43" customFormat="1" ht="15.75">
      <c r="A50" s="27"/>
      <c r="B50" s="41" t="s">
        <v>31</v>
      </c>
      <c r="C50" s="39" t="s">
        <v>76</v>
      </c>
      <c r="D50" s="97">
        <v>2940.9</v>
      </c>
      <c r="E50" s="105"/>
    </row>
    <row r="51" spans="1:5" s="43" customFormat="1" ht="15.75">
      <c r="A51" s="27"/>
      <c r="B51" s="41" t="s">
        <v>77</v>
      </c>
      <c r="C51" s="39" t="s">
        <v>78</v>
      </c>
      <c r="D51" s="97">
        <v>4163.1</v>
      </c>
      <c r="E51" s="105"/>
    </row>
    <row r="52" spans="1:5" s="43" customFormat="1" ht="31.5">
      <c r="A52" s="27"/>
      <c r="B52" s="41" t="s">
        <v>107</v>
      </c>
      <c r="C52" s="42" t="s">
        <v>108</v>
      </c>
      <c r="D52" s="97">
        <v>857.7</v>
      </c>
      <c r="E52" s="105"/>
    </row>
    <row r="53" spans="1:5" s="43" customFormat="1" ht="15.75">
      <c r="A53" s="27"/>
      <c r="B53" s="41" t="s">
        <v>83</v>
      </c>
      <c r="C53" s="39" t="s">
        <v>84</v>
      </c>
      <c r="D53" s="97">
        <v>1255.1</v>
      </c>
      <c r="E53" s="105"/>
    </row>
    <row r="54" spans="1:5" s="43" customFormat="1" ht="15.75">
      <c r="A54" s="27"/>
      <c r="B54" s="41"/>
      <c r="C54" s="39" t="s">
        <v>85</v>
      </c>
      <c r="D54" s="97">
        <v>16804.1</v>
      </c>
      <c r="E54" s="105"/>
    </row>
    <row r="55" spans="1:5" s="43" customFormat="1" ht="63">
      <c r="A55" s="52" t="s">
        <v>208</v>
      </c>
      <c r="B55" s="27"/>
      <c r="C55" s="28" t="s">
        <v>109</v>
      </c>
      <c r="D55" s="96">
        <v>12160.6</v>
      </c>
      <c r="E55" s="105"/>
    </row>
    <row r="56" spans="1:5" s="43" customFormat="1" ht="47.25">
      <c r="A56" s="52" t="s">
        <v>187</v>
      </c>
      <c r="B56" s="27" t="s">
        <v>185</v>
      </c>
      <c r="C56" s="28" t="s">
        <v>186</v>
      </c>
      <c r="D56" s="96">
        <v>1332.3</v>
      </c>
      <c r="E56" s="105"/>
    </row>
    <row r="57" spans="1:5" s="43" customFormat="1" ht="15.75">
      <c r="A57" s="44" t="s">
        <v>174</v>
      </c>
      <c r="B57" s="44"/>
      <c r="C57" s="45" t="s">
        <v>9</v>
      </c>
      <c r="D57" s="96">
        <f>D58+D93+D100+D107</f>
        <v>3097919</v>
      </c>
      <c r="E57" s="105"/>
    </row>
    <row r="58" spans="1:9" s="43" customFormat="1" ht="15.75">
      <c r="A58" s="44"/>
      <c r="B58" s="44"/>
      <c r="C58" s="45" t="s">
        <v>10</v>
      </c>
      <c r="D58" s="96">
        <f>D59+D60+D61+D62+D63+D64+D65+D66+D68+D71+D72+D73+D74+D75+D76+D79+D80+D81+D82+D85+D86+D87+D90+D91+D92</f>
        <v>3046561.7</v>
      </c>
      <c r="E58" s="105"/>
      <c r="F58" s="49"/>
      <c r="G58" s="49"/>
      <c r="H58" s="49"/>
      <c r="I58" s="49"/>
    </row>
    <row r="59" spans="1:9" s="29" customFormat="1" ht="47.25">
      <c r="A59" s="27" t="s">
        <v>139</v>
      </c>
      <c r="B59" s="27"/>
      <c r="C59" s="28" t="s">
        <v>110</v>
      </c>
      <c r="D59" s="99">
        <v>229793.8</v>
      </c>
      <c r="E59" s="105"/>
      <c r="F59" s="46"/>
      <c r="G59" s="90">
        <f>D59+D61+D63+D72+D73+D74+D75+D85+D108</f>
        <v>1522706</v>
      </c>
      <c r="H59" s="46"/>
      <c r="I59" s="46"/>
    </row>
    <row r="60" spans="1:9" s="29" customFormat="1" ht="63">
      <c r="A60" s="27" t="s">
        <v>207</v>
      </c>
      <c r="B60" s="27"/>
      <c r="C60" s="28" t="s">
        <v>109</v>
      </c>
      <c r="D60" s="99">
        <v>6781.9</v>
      </c>
      <c r="E60" s="105"/>
      <c r="F60" s="46"/>
      <c r="G60" s="90"/>
      <c r="H60" s="46"/>
      <c r="I60" s="46"/>
    </row>
    <row r="61" spans="1:9" s="29" customFormat="1" ht="98.25" customHeight="1">
      <c r="A61" s="27" t="s">
        <v>140</v>
      </c>
      <c r="B61" s="38"/>
      <c r="C61" s="28" t="s">
        <v>33</v>
      </c>
      <c r="D61" s="99">
        <v>1229.4</v>
      </c>
      <c r="E61" s="105"/>
      <c r="F61" s="50"/>
      <c r="G61" s="46"/>
      <c r="H61" s="46"/>
      <c r="I61" s="46"/>
    </row>
    <row r="62" spans="1:5" s="29" customFormat="1" ht="110.25">
      <c r="A62" s="27" t="s">
        <v>141</v>
      </c>
      <c r="B62" s="27"/>
      <c r="C62" s="28" t="s">
        <v>16</v>
      </c>
      <c r="D62" s="99">
        <v>3519.4</v>
      </c>
      <c r="E62" s="105"/>
    </row>
    <row r="63" spans="1:6" s="29" customFormat="1" ht="78.75">
      <c r="A63" s="27" t="s">
        <v>142</v>
      </c>
      <c r="B63" s="27"/>
      <c r="C63" s="28" t="s">
        <v>22</v>
      </c>
      <c r="D63" s="99">
        <v>12257.6</v>
      </c>
      <c r="E63" s="105"/>
      <c r="F63" s="51"/>
    </row>
    <row r="64" spans="1:5" s="29" customFormat="1" ht="31.5">
      <c r="A64" s="27" t="s">
        <v>143</v>
      </c>
      <c r="B64" s="27"/>
      <c r="C64" s="28" t="s">
        <v>15</v>
      </c>
      <c r="D64" s="99">
        <v>170047.3</v>
      </c>
      <c r="E64" s="105"/>
    </row>
    <row r="65" spans="1:5" s="29" customFormat="1" ht="47.25">
      <c r="A65" s="27" t="s">
        <v>144</v>
      </c>
      <c r="B65" s="60"/>
      <c r="C65" s="52" t="s">
        <v>100</v>
      </c>
      <c r="D65" s="99">
        <v>450</v>
      </c>
      <c r="E65" s="105"/>
    </row>
    <row r="66" spans="1:5" s="29" customFormat="1" ht="31.5">
      <c r="A66" s="27" t="s">
        <v>145</v>
      </c>
      <c r="B66" s="27"/>
      <c r="C66" s="28" t="s">
        <v>101</v>
      </c>
      <c r="D66" s="99">
        <v>42945.5</v>
      </c>
      <c r="E66" s="105"/>
    </row>
    <row r="67" spans="1:5" s="40" customFormat="1" ht="47.25">
      <c r="A67" s="38" t="s">
        <v>146</v>
      </c>
      <c r="B67" s="38" t="s">
        <v>29</v>
      </c>
      <c r="C67" s="42" t="s">
        <v>23</v>
      </c>
      <c r="D67" s="96">
        <f>D68+D71</f>
        <v>345956.9</v>
      </c>
      <c r="E67" s="105"/>
    </row>
    <row r="68" spans="1:5" s="141" customFormat="1" ht="31.5">
      <c r="A68" s="136" t="s">
        <v>147</v>
      </c>
      <c r="B68" s="137"/>
      <c r="C68" s="138" t="s">
        <v>18</v>
      </c>
      <c r="D68" s="139">
        <f>D69+D70</f>
        <v>330400.6</v>
      </c>
      <c r="E68" s="140"/>
    </row>
    <row r="69" spans="1:5" s="141" customFormat="1" ht="31.5">
      <c r="A69" s="136"/>
      <c r="B69" s="137" t="s">
        <v>45</v>
      </c>
      <c r="C69" s="155" t="s">
        <v>116</v>
      </c>
      <c r="D69" s="156">
        <f>198751.5+13.13</f>
        <v>198764.6</v>
      </c>
      <c r="E69" s="140"/>
    </row>
    <row r="70" spans="1:6" s="159" customFormat="1" ht="31.5">
      <c r="A70" s="157"/>
      <c r="B70" s="137" t="s">
        <v>50</v>
      </c>
      <c r="C70" s="155" t="s">
        <v>34</v>
      </c>
      <c r="D70" s="156">
        <v>131636</v>
      </c>
      <c r="E70" s="140"/>
      <c r="F70" s="158"/>
    </row>
    <row r="71" spans="1:5" ht="47.25">
      <c r="A71" s="23" t="s">
        <v>148</v>
      </c>
      <c r="B71" s="19"/>
      <c r="C71" s="3" t="s">
        <v>24</v>
      </c>
      <c r="D71" s="99">
        <v>15556.3</v>
      </c>
      <c r="E71" s="105"/>
    </row>
    <row r="72" spans="1:5" s="24" customFormat="1" ht="47.25">
      <c r="A72" s="23" t="s">
        <v>149</v>
      </c>
      <c r="B72" s="23" t="s">
        <v>2</v>
      </c>
      <c r="C72" s="3" t="s">
        <v>67</v>
      </c>
      <c r="D72" s="99">
        <v>825224.3</v>
      </c>
      <c r="E72" s="105"/>
    </row>
    <row r="73" spans="1:5" s="24" customFormat="1" ht="96.75" customHeight="1">
      <c r="A73" s="23" t="s">
        <v>150</v>
      </c>
      <c r="B73" s="23"/>
      <c r="C73" s="3" t="s">
        <v>25</v>
      </c>
      <c r="D73" s="99">
        <v>28.4</v>
      </c>
      <c r="E73" s="105"/>
    </row>
    <row r="74" spans="1:5" s="24" customFormat="1" ht="96" customHeight="1">
      <c r="A74" s="23" t="s">
        <v>151</v>
      </c>
      <c r="B74" s="23" t="s">
        <v>42</v>
      </c>
      <c r="C74" s="3" t="s">
        <v>26</v>
      </c>
      <c r="D74" s="99">
        <v>25</v>
      </c>
      <c r="E74" s="105"/>
    </row>
    <row r="75" spans="1:5" s="29" customFormat="1" ht="176.25" customHeight="1">
      <c r="A75" s="27" t="s">
        <v>152</v>
      </c>
      <c r="B75" s="27" t="s">
        <v>45</v>
      </c>
      <c r="C75" s="28" t="s">
        <v>39</v>
      </c>
      <c r="D75" s="99">
        <v>434963.8</v>
      </c>
      <c r="E75" s="105"/>
    </row>
    <row r="76" spans="1:5" s="141" customFormat="1" ht="78.75">
      <c r="A76" s="142" t="s">
        <v>153</v>
      </c>
      <c r="B76" s="137"/>
      <c r="C76" s="143" t="s">
        <v>35</v>
      </c>
      <c r="D76" s="113">
        <f>D77+D78</f>
        <v>411958.3</v>
      </c>
      <c r="E76" s="140"/>
    </row>
    <row r="77" spans="1:5" s="161" customFormat="1" ht="31.5">
      <c r="A77" s="137"/>
      <c r="B77" s="137" t="s">
        <v>45</v>
      </c>
      <c r="C77" s="160" t="s">
        <v>115</v>
      </c>
      <c r="D77" s="150">
        <v>286994.3</v>
      </c>
      <c r="E77" s="140"/>
    </row>
    <row r="78" spans="1:6" s="161" customFormat="1" ht="35.25" customHeight="1">
      <c r="A78" s="137"/>
      <c r="B78" s="137" t="s">
        <v>50</v>
      </c>
      <c r="C78" s="160" t="s">
        <v>36</v>
      </c>
      <c r="D78" s="150">
        <v>124964</v>
      </c>
      <c r="E78" s="140"/>
      <c r="F78" s="162"/>
    </row>
    <row r="79" spans="1:5" s="24" customFormat="1" ht="63">
      <c r="A79" s="23" t="s">
        <v>154</v>
      </c>
      <c r="B79" s="23" t="s">
        <v>42</v>
      </c>
      <c r="C79" s="3" t="s">
        <v>27</v>
      </c>
      <c r="D79" s="99">
        <v>196474.7</v>
      </c>
      <c r="E79" s="105"/>
    </row>
    <row r="80" spans="1:5" s="24" customFormat="1" ht="48.75" customHeight="1">
      <c r="A80" s="23" t="s">
        <v>155</v>
      </c>
      <c r="B80" s="23" t="s">
        <v>45</v>
      </c>
      <c r="C80" s="3" t="s">
        <v>37</v>
      </c>
      <c r="D80" s="99">
        <v>201341.1</v>
      </c>
      <c r="E80" s="105"/>
    </row>
    <row r="81" spans="1:5" s="18" customFormat="1" ht="37.5" customHeight="1">
      <c r="A81" s="16" t="s">
        <v>156</v>
      </c>
      <c r="B81" s="16" t="s">
        <v>45</v>
      </c>
      <c r="C81" s="17" t="s">
        <v>66</v>
      </c>
      <c r="D81" s="101">
        <v>945.8</v>
      </c>
      <c r="E81" s="105"/>
    </row>
    <row r="82" spans="1:5" s="161" customFormat="1" ht="31.5">
      <c r="A82" s="136" t="s">
        <v>157</v>
      </c>
      <c r="B82" s="142"/>
      <c r="C82" s="138" t="s">
        <v>49</v>
      </c>
      <c r="D82" s="113">
        <f>D83+D84</f>
        <v>131565.3</v>
      </c>
      <c r="E82" s="140"/>
    </row>
    <row r="83" spans="1:5" s="163" customFormat="1" ht="47.25">
      <c r="A83" s="137"/>
      <c r="B83" s="137" t="s">
        <v>50</v>
      </c>
      <c r="C83" s="160" t="s">
        <v>38</v>
      </c>
      <c r="D83" s="156">
        <v>61310.2</v>
      </c>
      <c r="E83" s="140"/>
    </row>
    <row r="84" spans="1:5" s="141" customFormat="1" ht="47.25">
      <c r="A84" s="136"/>
      <c r="B84" s="137" t="s">
        <v>45</v>
      </c>
      <c r="C84" s="160" t="s">
        <v>48</v>
      </c>
      <c r="D84" s="150">
        <v>70255.1</v>
      </c>
      <c r="E84" s="140"/>
    </row>
    <row r="85" spans="1:5" s="18" customFormat="1" ht="55.5" customHeight="1">
      <c r="A85" s="23" t="s">
        <v>158</v>
      </c>
      <c r="B85" s="16"/>
      <c r="C85" s="3" t="s">
        <v>102</v>
      </c>
      <c r="D85" s="96">
        <v>19134.5</v>
      </c>
      <c r="E85" s="105"/>
    </row>
    <row r="86" spans="1:5" ht="47.25">
      <c r="A86" s="19" t="s">
        <v>159</v>
      </c>
      <c r="B86" s="19" t="s">
        <v>41</v>
      </c>
      <c r="C86" s="61" t="s">
        <v>91</v>
      </c>
      <c r="D86" s="96">
        <v>367.5</v>
      </c>
      <c r="E86" s="105"/>
    </row>
    <row r="87" spans="1:5" ht="63">
      <c r="A87" s="19"/>
      <c r="B87" s="19"/>
      <c r="C87" s="61" t="s">
        <v>239</v>
      </c>
      <c r="D87" s="96">
        <f>D88+D89</f>
        <v>1901.2</v>
      </c>
      <c r="E87" s="105"/>
    </row>
    <row r="88" spans="1:5" ht="31.5">
      <c r="A88" s="19" t="s">
        <v>236</v>
      </c>
      <c r="B88" s="19" t="s">
        <v>45</v>
      </c>
      <c r="C88" s="168" t="s">
        <v>240</v>
      </c>
      <c r="D88" s="97">
        <v>1898.6</v>
      </c>
      <c r="E88" s="105"/>
    </row>
    <row r="89" spans="1:5" ht="31.5">
      <c r="A89" s="19" t="s">
        <v>237</v>
      </c>
      <c r="B89" s="11" t="s">
        <v>238</v>
      </c>
      <c r="C89" s="168" t="s">
        <v>241</v>
      </c>
      <c r="D89" s="97">
        <v>2.6</v>
      </c>
      <c r="E89" s="105"/>
    </row>
    <row r="90" spans="1:5" s="18" customFormat="1" ht="31.5">
      <c r="A90" s="16" t="s">
        <v>243</v>
      </c>
      <c r="B90" s="15" t="s">
        <v>42</v>
      </c>
      <c r="C90" s="61" t="s">
        <v>242</v>
      </c>
      <c r="D90" s="96">
        <v>10</v>
      </c>
      <c r="E90" s="105"/>
    </row>
    <row r="91" spans="1:5" ht="47.25">
      <c r="A91" s="19" t="s">
        <v>234</v>
      </c>
      <c r="B91" s="19" t="s">
        <v>214</v>
      </c>
      <c r="C91" s="164" t="s">
        <v>235</v>
      </c>
      <c r="D91" s="96">
        <v>3000</v>
      </c>
      <c r="E91" s="105"/>
    </row>
    <row r="92" spans="1:5" ht="31.5">
      <c r="A92" s="27" t="s">
        <v>196</v>
      </c>
      <c r="B92" s="44" t="s">
        <v>42</v>
      </c>
      <c r="C92" s="45" t="s">
        <v>195</v>
      </c>
      <c r="D92" s="96">
        <v>6640</v>
      </c>
      <c r="E92" s="105"/>
    </row>
    <row r="93" spans="1:5" ht="47.25">
      <c r="A93" s="19"/>
      <c r="B93" s="19"/>
      <c r="C93" s="17" t="s">
        <v>103</v>
      </c>
      <c r="D93" s="96">
        <f>D94+D95+D96</f>
        <v>19292.1</v>
      </c>
      <c r="E93" s="105"/>
    </row>
    <row r="94" spans="1:5" ht="31.5">
      <c r="A94" s="19" t="s">
        <v>161</v>
      </c>
      <c r="B94" s="19" t="s">
        <v>42</v>
      </c>
      <c r="C94" s="20" t="s">
        <v>40</v>
      </c>
      <c r="D94" s="97">
        <v>8712.7</v>
      </c>
      <c r="E94" s="105"/>
    </row>
    <row r="95" spans="1:5" ht="15.75">
      <c r="A95" s="19" t="s">
        <v>162</v>
      </c>
      <c r="B95" s="19" t="s">
        <v>41</v>
      </c>
      <c r="C95" s="20" t="s">
        <v>43</v>
      </c>
      <c r="D95" s="97">
        <v>50.1</v>
      </c>
      <c r="E95" s="105"/>
    </row>
    <row r="96" spans="1:5" ht="47.25">
      <c r="A96" s="23" t="s">
        <v>163</v>
      </c>
      <c r="B96" s="16"/>
      <c r="C96" s="17" t="s">
        <v>59</v>
      </c>
      <c r="D96" s="99">
        <f>D97+D98+D99</f>
        <v>10529.3</v>
      </c>
      <c r="E96" s="105"/>
    </row>
    <row r="97" spans="1:5" ht="78.75">
      <c r="A97" s="19" t="s">
        <v>164</v>
      </c>
      <c r="B97" s="19" t="s">
        <v>42</v>
      </c>
      <c r="C97" s="20" t="s">
        <v>104</v>
      </c>
      <c r="D97" s="97">
        <v>8000</v>
      </c>
      <c r="E97" s="105"/>
    </row>
    <row r="98" spans="1:5" ht="15.75">
      <c r="A98" s="19" t="s">
        <v>165</v>
      </c>
      <c r="B98" s="19" t="s">
        <v>31</v>
      </c>
      <c r="C98" s="20" t="s">
        <v>76</v>
      </c>
      <c r="D98" s="97">
        <v>142</v>
      </c>
      <c r="E98" s="105"/>
    </row>
    <row r="99" spans="1:5" ht="63">
      <c r="A99" s="19" t="s">
        <v>166</v>
      </c>
      <c r="B99" s="19" t="s">
        <v>42</v>
      </c>
      <c r="C99" s="37" t="s">
        <v>99</v>
      </c>
      <c r="D99" s="97">
        <v>2387.3</v>
      </c>
      <c r="E99" s="105"/>
    </row>
    <row r="100" spans="1:5" ht="63">
      <c r="A100" s="16"/>
      <c r="B100" s="16"/>
      <c r="C100" s="17" t="s">
        <v>105</v>
      </c>
      <c r="D100" s="96">
        <f>D101+D102+D103+D104</f>
        <v>32016</v>
      </c>
      <c r="E100" s="105"/>
    </row>
    <row r="101" spans="1:5" ht="78.75">
      <c r="A101" s="19" t="s">
        <v>167</v>
      </c>
      <c r="B101" s="19" t="s">
        <v>42</v>
      </c>
      <c r="C101" s="20" t="s">
        <v>32</v>
      </c>
      <c r="D101" s="97">
        <v>18603</v>
      </c>
      <c r="E101" s="105"/>
    </row>
    <row r="102" spans="1:5" ht="94.5">
      <c r="A102" s="19" t="s">
        <v>167</v>
      </c>
      <c r="B102" s="19" t="s">
        <v>42</v>
      </c>
      <c r="C102" s="20" t="s">
        <v>60</v>
      </c>
      <c r="D102" s="97">
        <v>1918</v>
      </c>
      <c r="E102" s="105"/>
    </row>
    <row r="103" spans="1:5" ht="15.75">
      <c r="A103" s="19" t="s">
        <v>168</v>
      </c>
      <c r="B103" s="19" t="s">
        <v>47</v>
      </c>
      <c r="C103" s="20" t="s">
        <v>69</v>
      </c>
      <c r="D103" s="97">
        <v>0</v>
      </c>
      <c r="E103" s="105"/>
    </row>
    <row r="104" spans="1:5" ht="47.25">
      <c r="A104" s="19"/>
      <c r="B104" s="19"/>
      <c r="C104" s="3" t="s">
        <v>113</v>
      </c>
      <c r="D104" s="99">
        <f>D105+D106</f>
        <v>11495</v>
      </c>
      <c r="E104" s="105"/>
    </row>
    <row r="105" spans="1:5" ht="83.25" customHeight="1">
      <c r="A105" s="19" t="s">
        <v>169</v>
      </c>
      <c r="B105" s="19" t="s">
        <v>42</v>
      </c>
      <c r="C105" s="20" t="s">
        <v>65</v>
      </c>
      <c r="D105" s="97">
        <v>11195</v>
      </c>
      <c r="E105" s="105"/>
    </row>
    <row r="106" spans="1:5" s="24" customFormat="1" ht="15.75">
      <c r="A106" s="19" t="s">
        <v>170</v>
      </c>
      <c r="B106" s="19" t="s">
        <v>41</v>
      </c>
      <c r="C106" s="20" t="s">
        <v>43</v>
      </c>
      <c r="D106" s="97">
        <v>300</v>
      </c>
      <c r="E106" s="105"/>
    </row>
    <row r="107" spans="1:5" s="18" customFormat="1" ht="15.75">
      <c r="A107" s="16" t="s">
        <v>53</v>
      </c>
      <c r="B107" s="47"/>
      <c r="C107" s="15" t="s">
        <v>11</v>
      </c>
      <c r="D107" s="96">
        <f>SUM(D108)</f>
        <v>49.2</v>
      </c>
      <c r="E107" s="105"/>
    </row>
    <row r="108" spans="1:5" ht="94.5">
      <c r="A108" s="19" t="s">
        <v>204</v>
      </c>
      <c r="B108" s="19" t="s">
        <v>54</v>
      </c>
      <c r="C108" s="12" t="s">
        <v>28</v>
      </c>
      <c r="D108" s="97">
        <v>49.2</v>
      </c>
      <c r="E108" s="105"/>
    </row>
    <row r="109" spans="1:5" ht="31.5">
      <c r="A109" s="23" t="s">
        <v>12</v>
      </c>
      <c r="B109" s="23"/>
      <c r="C109" s="31" t="s">
        <v>13</v>
      </c>
      <c r="D109" s="96">
        <f>D110+D111+D112+D122+D127+D131</f>
        <v>130597.5</v>
      </c>
      <c r="E109" s="105"/>
    </row>
    <row r="110" spans="1:5" ht="126">
      <c r="A110" s="16" t="s">
        <v>172</v>
      </c>
      <c r="B110" s="16"/>
      <c r="C110" s="17" t="s">
        <v>203</v>
      </c>
      <c r="D110" s="96">
        <f>89389.2+321.9+401</f>
        <v>90112.1</v>
      </c>
      <c r="E110" s="105"/>
    </row>
    <row r="111" spans="1:5" ht="31.5">
      <c r="A111" s="111" t="s">
        <v>201</v>
      </c>
      <c r="B111" s="112">
        <v>262200</v>
      </c>
      <c r="C111" s="112" t="s">
        <v>202</v>
      </c>
      <c r="D111" s="113">
        <v>25000</v>
      </c>
      <c r="E111" s="105"/>
    </row>
    <row r="112" spans="1:5" ht="63">
      <c r="A112" s="19"/>
      <c r="B112" s="19"/>
      <c r="C112" s="17" t="s">
        <v>117</v>
      </c>
      <c r="D112" s="96">
        <f>SUM(D113:D121)</f>
        <v>8287.2</v>
      </c>
      <c r="E112" s="105"/>
    </row>
    <row r="113" spans="1:5" ht="31.5">
      <c r="A113" s="19" t="s">
        <v>213</v>
      </c>
      <c r="B113" s="19" t="s">
        <v>46</v>
      </c>
      <c r="C113" s="4" t="s">
        <v>61</v>
      </c>
      <c r="D113" s="97">
        <v>1530</v>
      </c>
      <c r="E113" s="105"/>
    </row>
    <row r="114" spans="1:5" ht="31.5">
      <c r="A114" s="19" t="s">
        <v>160</v>
      </c>
      <c r="B114" s="19" t="s">
        <v>46</v>
      </c>
      <c r="C114" s="4" t="s">
        <v>61</v>
      </c>
      <c r="D114" s="97">
        <v>1978.7</v>
      </c>
      <c r="E114" s="105"/>
    </row>
    <row r="115" spans="1:5" ht="15.75">
      <c r="A115" s="19" t="s">
        <v>160</v>
      </c>
      <c r="B115" s="19" t="s">
        <v>41</v>
      </c>
      <c r="C115" s="20" t="s">
        <v>43</v>
      </c>
      <c r="D115" s="97">
        <v>284.3</v>
      </c>
      <c r="E115" s="105"/>
    </row>
    <row r="116" spans="1:5" ht="94.5">
      <c r="A116" s="19" t="s">
        <v>160</v>
      </c>
      <c r="B116" s="19" t="s">
        <v>214</v>
      </c>
      <c r="C116" s="135" t="s">
        <v>220</v>
      </c>
      <c r="D116" s="97">
        <v>99.5</v>
      </c>
      <c r="E116" s="105"/>
    </row>
    <row r="117" spans="1:5" ht="31.5">
      <c r="A117" s="19" t="s">
        <v>160</v>
      </c>
      <c r="B117" s="19" t="s">
        <v>47</v>
      </c>
      <c r="C117" s="135" t="s">
        <v>55</v>
      </c>
      <c r="D117" s="97">
        <v>2400</v>
      </c>
      <c r="E117" s="105"/>
    </row>
    <row r="118" spans="1:7" ht="31.5">
      <c r="A118" s="19" t="s">
        <v>160</v>
      </c>
      <c r="B118" s="19" t="s">
        <v>215</v>
      </c>
      <c r="C118" s="135" t="s">
        <v>221</v>
      </c>
      <c r="D118" s="97">
        <v>216.2</v>
      </c>
      <c r="E118" s="105"/>
      <c r="G118" s="92">
        <f>D112+D122</f>
        <v>9891.9</v>
      </c>
    </row>
    <row r="119" spans="1:5" ht="15.75">
      <c r="A119" s="19" t="s">
        <v>216</v>
      </c>
      <c r="B119" s="19" t="s">
        <v>42</v>
      </c>
      <c r="C119" s="135" t="s">
        <v>222</v>
      </c>
      <c r="D119" s="97">
        <v>382.9</v>
      </c>
      <c r="E119" s="105"/>
    </row>
    <row r="120" spans="1:5" ht="15.75">
      <c r="A120" s="19" t="s">
        <v>160</v>
      </c>
      <c r="B120" s="19" t="s">
        <v>185</v>
      </c>
      <c r="C120" s="20" t="s">
        <v>43</v>
      </c>
      <c r="D120" s="97">
        <v>1214.2</v>
      </c>
      <c r="E120" s="105"/>
    </row>
    <row r="121" spans="1:5" ht="15.75">
      <c r="A121" s="19" t="s">
        <v>193</v>
      </c>
      <c r="B121" s="19" t="s">
        <v>41</v>
      </c>
      <c r="C121" s="20" t="s">
        <v>43</v>
      </c>
      <c r="D121" s="97">
        <v>181.4</v>
      </c>
      <c r="E121" s="105"/>
    </row>
    <row r="122" spans="1:5" ht="63">
      <c r="A122" s="19"/>
      <c r="B122" s="19"/>
      <c r="C122" s="17" t="s">
        <v>217</v>
      </c>
      <c r="D122" s="96">
        <f>D123+D124+D125+D126</f>
        <v>1604.7</v>
      </c>
      <c r="E122" s="105"/>
    </row>
    <row r="123" spans="1:5" ht="31.5">
      <c r="A123" s="19" t="s">
        <v>219</v>
      </c>
      <c r="B123" s="19" t="s">
        <v>46</v>
      </c>
      <c r="C123" s="4" t="s">
        <v>61</v>
      </c>
      <c r="D123" s="97">
        <v>460</v>
      </c>
      <c r="E123" s="105"/>
    </row>
    <row r="124" spans="1:5" ht="31.5">
      <c r="A124" s="19" t="s">
        <v>218</v>
      </c>
      <c r="B124" s="19" t="s">
        <v>46</v>
      </c>
      <c r="C124" s="4" t="s">
        <v>61</v>
      </c>
      <c r="D124" s="97">
        <v>601.4</v>
      </c>
      <c r="E124" s="105"/>
    </row>
    <row r="125" spans="1:5" ht="15.75">
      <c r="A125" s="19" t="s">
        <v>218</v>
      </c>
      <c r="B125" s="19" t="s">
        <v>41</v>
      </c>
      <c r="C125" s="20" t="s">
        <v>43</v>
      </c>
      <c r="D125" s="97">
        <v>423.3</v>
      </c>
      <c r="E125" s="105"/>
    </row>
    <row r="126" spans="1:5" ht="31.5">
      <c r="A126" s="19" t="s">
        <v>218</v>
      </c>
      <c r="B126" s="19" t="s">
        <v>47</v>
      </c>
      <c r="C126" s="135" t="s">
        <v>221</v>
      </c>
      <c r="D126" s="97">
        <v>120</v>
      </c>
      <c r="E126" s="105"/>
    </row>
    <row r="127" spans="1:5" ht="31.5">
      <c r="A127" s="15"/>
      <c r="B127" s="11"/>
      <c r="C127" s="17" t="s">
        <v>70</v>
      </c>
      <c r="D127" s="95">
        <f>D128+D129+D130</f>
        <v>3919.5</v>
      </c>
      <c r="E127" s="105"/>
    </row>
    <row r="128" spans="1:5" ht="31.5">
      <c r="A128" s="11" t="s">
        <v>173</v>
      </c>
      <c r="B128" s="11" t="s">
        <v>46</v>
      </c>
      <c r="C128" s="4" t="s">
        <v>61</v>
      </c>
      <c r="D128" s="102">
        <v>2103.2</v>
      </c>
      <c r="E128" s="105"/>
    </row>
    <row r="129" spans="1:5" ht="31.5">
      <c r="A129" s="11" t="s">
        <v>233</v>
      </c>
      <c r="B129" s="11" t="s">
        <v>46</v>
      </c>
      <c r="C129" s="4" t="s">
        <v>61</v>
      </c>
      <c r="D129" s="102">
        <v>1541.2</v>
      </c>
      <c r="E129" s="105"/>
    </row>
    <row r="130" spans="1:5" ht="15.75">
      <c r="A130" s="11" t="s">
        <v>173</v>
      </c>
      <c r="B130" s="12">
        <v>226900</v>
      </c>
      <c r="C130" s="107" t="s">
        <v>197</v>
      </c>
      <c r="D130" s="103">
        <v>275.1</v>
      </c>
      <c r="E130" s="105"/>
    </row>
    <row r="131" spans="1:4" ht="31.5">
      <c r="A131" s="108"/>
      <c r="B131" s="108"/>
      <c r="C131" s="17" t="s">
        <v>198</v>
      </c>
      <c r="D131" s="110">
        <f>D132+D133</f>
        <v>1674</v>
      </c>
    </row>
    <row r="132" spans="1:4" ht="31.5">
      <c r="A132" s="11" t="s">
        <v>199</v>
      </c>
      <c r="B132" s="11" t="s">
        <v>46</v>
      </c>
      <c r="C132" s="4" t="s">
        <v>61</v>
      </c>
      <c r="D132" s="109">
        <v>1398.9</v>
      </c>
    </row>
    <row r="133" spans="1:4" ht="15.75">
      <c r="A133" s="11" t="s">
        <v>200</v>
      </c>
      <c r="B133" s="19" t="s">
        <v>41</v>
      </c>
      <c r="C133" s="20" t="s">
        <v>43</v>
      </c>
      <c r="D133" s="109">
        <v>275.1</v>
      </c>
    </row>
    <row r="134" spans="1:4" ht="15.75">
      <c r="A134" s="78"/>
      <c r="B134" s="79"/>
      <c r="C134" s="79"/>
      <c r="D134" s="80"/>
    </row>
    <row r="135" spans="1:4" ht="15.75">
      <c r="A135" s="78"/>
      <c r="B135" s="79"/>
      <c r="C135" s="79"/>
      <c r="D135" s="80"/>
    </row>
    <row r="136" ht="15.75">
      <c r="D136" s="56"/>
    </row>
  </sheetData>
  <sheetProtection/>
  <mergeCells count="1">
    <mergeCell ref="A3:D3"/>
  </mergeCells>
  <printOptions horizontalCentered="1"/>
  <pageMargins left="0.1968503937007874" right="0.1968503937007874" top="0.1968503937007874" bottom="0.1968503937007874" header="0.11811023622047245" footer="0.11811023622047245"/>
  <pageSetup fitToHeight="6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M127"/>
  <sheetViews>
    <sheetView view="pageBreakPreview" zoomScaleNormal="80" zoomScaleSheetLayoutView="100" zoomScalePageLayoutView="0" workbookViewId="0" topLeftCell="A1">
      <pane xSplit="4" ySplit="5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K3" sqref="K3"/>
    </sheetView>
  </sheetViews>
  <sheetFormatPr defaultColWidth="9.140625" defaultRowHeight="12.75"/>
  <cols>
    <col min="1" max="1" width="28.140625" style="5" customWidth="1"/>
    <col min="2" max="2" width="10.8515625" style="5" customWidth="1"/>
    <col min="3" max="3" width="43.28125" style="5" customWidth="1"/>
    <col min="4" max="4" width="15.57421875" style="32" customWidth="1"/>
    <col min="5" max="5" width="15.421875" style="8" customWidth="1"/>
    <col min="6" max="6" width="14.7109375" style="8" customWidth="1"/>
    <col min="7" max="7" width="16.00390625" style="5" customWidth="1"/>
    <col min="8" max="8" width="15.7109375" style="5" customWidth="1"/>
    <col min="9" max="9" width="13.421875" style="5" customWidth="1"/>
    <col min="10" max="10" width="13.57421875" style="5" customWidth="1"/>
    <col min="11" max="11" width="7.421875" style="5" customWidth="1"/>
    <col min="12" max="12" width="11.28125" style="5" customWidth="1"/>
    <col min="13" max="13" width="11.57421875" style="5" customWidth="1"/>
    <col min="14" max="14" width="7.421875" style="5" customWidth="1"/>
    <col min="15" max="16384" width="9.140625" style="5" customWidth="1"/>
  </cols>
  <sheetData>
    <row r="2" spans="1:11" ht="44.25" customHeight="1">
      <c r="A2" s="170" t="s">
        <v>223</v>
      </c>
      <c r="B2" s="170"/>
      <c r="C2" s="170"/>
      <c r="D2" s="170"/>
      <c r="E2" s="170"/>
      <c r="F2" s="170"/>
      <c r="G2" s="170"/>
      <c r="H2" s="170"/>
      <c r="I2" s="170"/>
      <c r="J2" s="170"/>
      <c r="K2" s="36"/>
    </row>
    <row r="3" spans="1:10" s="8" customFormat="1" ht="15.75" customHeight="1">
      <c r="A3" s="171" t="s">
        <v>0</v>
      </c>
      <c r="B3" s="171" t="s">
        <v>17</v>
      </c>
      <c r="C3" s="171" t="s">
        <v>1</v>
      </c>
      <c r="D3" s="171" t="s">
        <v>120</v>
      </c>
      <c r="E3" s="171"/>
      <c r="F3" s="171"/>
      <c r="G3" s="171"/>
      <c r="H3" s="171"/>
      <c r="I3" s="171" t="s">
        <v>94</v>
      </c>
      <c r="J3" s="171" t="s">
        <v>98</v>
      </c>
    </row>
    <row r="4" spans="1:10" s="8" customFormat="1" ht="88.5" customHeight="1">
      <c r="A4" s="171"/>
      <c r="B4" s="171"/>
      <c r="C4" s="171"/>
      <c r="D4" s="6" t="s">
        <v>224</v>
      </c>
      <c r="E4" s="6" t="s">
        <v>95</v>
      </c>
      <c r="F4" s="6" t="s">
        <v>96</v>
      </c>
      <c r="G4" s="6" t="s">
        <v>225</v>
      </c>
      <c r="H4" s="6" t="s">
        <v>97</v>
      </c>
      <c r="I4" s="171"/>
      <c r="J4" s="171"/>
    </row>
    <row r="5" spans="1:10" s="8" customFormat="1" ht="15.75">
      <c r="A5" s="6">
        <v>1</v>
      </c>
      <c r="B5" s="6">
        <f aca="true" t="shared" si="0" ref="B5:H5">A5+1</f>
        <v>2</v>
      </c>
      <c r="C5" s="6">
        <f t="shared" si="0"/>
        <v>3</v>
      </c>
      <c r="D5" s="6">
        <f t="shared" si="0"/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7">
        <v>9</v>
      </c>
      <c r="J5" s="7">
        <v>10</v>
      </c>
    </row>
    <row r="6" spans="1:10" s="8" customFormat="1" ht="31.5">
      <c r="A6" s="6"/>
      <c r="B6" s="6"/>
      <c r="C6" s="9" t="s">
        <v>183</v>
      </c>
      <c r="D6" s="126">
        <f>D7+D10+D15+D20</f>
        <v>3451117.6</v>
      </c>
      <c r="E6" s="126">
        <f>E7+E10+E15+E20</f>
        <v>3213005.1</v>
      </c>
      <c r="F6" s="126">
        <f>F7+F10+F15+F20</f>
        <v>3213005.1</v>
      </c>
      <c r="G6" s="126">
        <f>G7+G10+G15+G20</f>
        <v>199553.8</v>
      </c>
      <c r="H6" s="126">
        <f>H7+H10+H15+H20</f>
        <v>3412558.9</v>
      </c>
      <c r="I6" s="62">
        <f>E6*100/D6</f>
        <v>93</v>
      </c>
      <c r="J6" s="62">
        <f>E6*100/H6</f>
        <v>94</v>
      </c>
    </row>
    <row r="7" spans="1:10" s="8" customFormat="1" ht="15.75">
      <c r="A7" s="9" t="s">
        <v>5</v>
      </c>
      <c r="B7" s="6"/>
      <c r="C7" s="9" t="s">
        <v>4</v>
      </c>
      <c r="D7" s="115">
        <f>D8+D9</f>
        <v>9624.9</v>
      </c>
      <c r="E7" s="115">
        <f>E8+E9</f>
        <v>6405</v>
      </c>
      <c r="F7" s="115">
        <f>F8+F9</f>
        <v>6405</v>
      </c>
      <c r="G7" s="115">
        <f>G8+G9</f>
        <v>0</v>
      </c>
      <c r="H7" s="115">
        <f>H8+H9</f>
        <v>6405</v>
      </c>
      <c r="I7" s="62">
        <f>E7*100/D7</f>
        <v>67</v>
      </c>
      <c r="J7" s="62">
        <f>E7*100/H7</f>
        <v>100</v>
      </c>
    </row>
    <row r="8" spans="1:10" s="13" customFormat="1" ht="87" customHeight="1">
      <c r="A8" s="11" t="s">
        <v>190</v>
      </c>
      <c r="B8" s="12">
        <v>242000</v>
      </c>
      <c r="C8" s="12" t="s">
        <v>189</v>
      </c>
      <c r="D8" s="116">
        <f>'РОСПИСЬ на 30092016'!D8/12*9</f>
        <v>9512.4</v>
      </c>
      <c r="E8" s="117">
        <v>6341.6</v>
      </c>
      <c r="F8" s="117">
        <v>6341.6</v>
      </c>
      <c r="G8" s="118">
        <v>0</v>
      </c>
      <c r="H8" s="119">
        <f>G8+E8</f>
        <v>6341.6</v>
      </c>
      <c r="I8" s="35">
        <f aca="true" t="shared" si="1" ref="I8:I73">E8*100/D8</f>
        <v>67</v>
      </c>
      <c r="J8" s="35">
        <f>E8*100/H8</f>
        <v>100</v>
      </c>
    </row>
    <row r="9" spans="1:10" s="13" customFormat="1" ht="57.75" customHeight="1">
      <c r="A9" s="11" t="s">
        <v>178</v>
      </c>
      <c r="B9" s="12">
        <v>290900</v>
      </c>
      <c r="C9" s="12" t="s">
        <v>181</v>
      </c>
      <c r="D9" s="116">
        <f>'РОСПИСЬ на 30092016'!D9/12*9</f>
        <v>112.5</v>
      </c>
      <c r="E9" s="117">
        <v>63.4</v>
      </c>
      <c r="F9" s="117">
        <v>63.4</v>
      </c>
      <c r="G9" s="118">
        <v>0</v>
      </c>
      <c r="H9" s="119">
        <f>G9+E9</f>
        <v>63.4</v>
      </c>
      <c r="I9" s="35">
        <f t="shared" si="1"/>
        <v>56</v>
      </c>
      <c r="J9" s="35">
        <f>E9*100/H9</f>
        <v>100</v>
      </c>
    </row>
    <row r="10" spans="1:10" s="13" customFormat="1" ht="15.75">
      <c r="A10" s="9" t="s">
        <v>6</v>
      </c>
      <c r="B10" s="9"/>
      <c r="C10" s="9" t="s">
        <v>7</v>
      </c>
      <c r="D10" s="115">
        <f>SUM(D11:D14)</f>
        <v>285.6</v>
      </c>
      <c r="E10" s="115">
        <f>SUM(E11:E14)</f>
        <v>62.4</v>
      </c>
      <c r="F10" s="115">
        <f>SUM(F11:F14)</f>
        <v>62.4</v>
      </c>
      <c r="G10" s="115">
        <f>SUM(G11:G14)</f>
        <v>30.5</v>
      </c>
      <c r="H10" s="115">
        <f>SUM(H11:H14)</f>
        <v>92.9</v>
      </c>
      <c r="I10" s="62">
        <f t="shared" si="1"/>
        <v>22</v>
      </c>
      <c r="J10" s="62">
        <f aca="true" t="shared" si="2" ref="J10:J77">E10*100/H10</f>
        <v>67</v>
      </c>
    </row>
    <row r="11" spans="1:10" s="13" customFormat="1" ht="31.5">
      <c r="A11" s="11" t="s">
        <v>179</v>
      </c>
      <c r="B11" s="12">
        <v>226900</v>
      </c>
      <c r="C11" s="12" t="s">
        <v>20</v>
      </c>
      <c r="D11" s="116">
        <f>'РОСПИСЬ на 30092016'!D11/12*9</f>
        <v>150</v>
      </c>
      <c r="E11" s="120">
        <v>45</v>
      </c>
      <c r="F11" s="120">
        <v>45</v>
      </c>
      <c r="G11" s="120">
        <v>0</v>
      </c>
      <c r="H11" s="119">
        <f>G11+E11</f>
        <v>45</v>
      </c>
      <c r="I11" s="35">
        <f t="shared" si="1"/>
        <v>30</v>
      </c>
      <c r="J11" s="35">
        <f>E11*100/H11</f>
        <v>100</v>
      </c>
    </row>
    <row r="12" spans="1:10" s="14" customFormat="1" ht="32.25" customHeight="1">
      <c r="A12" s="11" t="s">
        <v>180</v>
      </c>
      <c r="B12" s="12">
        <v>212101</v>
      </c>
      <c r="C12" s="12" t="s">
        <v>58</v>
      </c>
      <c r="D12" s="116">
        <f>'РОСПИСЬ на 30092016'!D12/12*9</f>
        <v>30</v>
      </c>
      <c r="E12" s="117">
        <v>7.6</v>
      </c>
      <c r="F12" s="117">
        <v>7.6</v>
      </c>
      <c r="G12" s="118">
        <v>4.4</v>
      </c>
      <c r="H12" s="119">
        <f>G12+E12</f>
        <v>12</v>
      </c>
      <c r="I12" s="35">
        <f t="shared" si="1"/>
        <v>25</v>
      </c>
      <c r="J12" s="35">
        <f>E12*100/H12</f>
        <v>63</v>
      </c>
    </row>
    <row r="13" spans="1:10" s="14" customFormat="1" ht="22.5" customHeight="1">
      <c r="A13" s="11" t="s">
        <v>180</v>
      </c>
      <c r="B13" s="12">
        <v>222102</v>
      </c>
      <c r="C13" s="12" t="s">
        <v>56</v>
      </c>
      <c r="D13" s="116">
        <f>'РОСПИСЬ на 30092016'!D13/12*9</f>
        <v>11.3</v>
      </c>
      <c r="E13" s="117">
        <v>6.9</v>
      </c>
      <c r="F13" s="117">
        <v>6.9</v>
      </c>
      <c r="G13" s="118">
        <v>4.1</v>
      </c>
      <c r="H13" s="119">
        <f>G13+E13</f>
        <v>11</v>
      </c>
      <c r="I13" s="35">
        <f t="shared" si="1"/>
        <v>61</v>
      </c>
      <c r="J13" s="35">
        <f>E13*100/H13</f>
        <v>63</v>
      </c>
    </row>
    <row r="14" spans="1:10" s="14" customFormat="1" ht="47.25">
      <c r="A14" s="11" t="s">
        <v>180</v>
      </c>
      <c r="B14" s="12">
        <v>212103</v>
      </c>
      <c r="C14" s="12" t="s">
        <v>57</v>
      </c>
      <c r="D14" s="116">
        <f>'РОСПИСЬ на 30092016'!D14/12*9</f>
        <v>94.3</v>
      </c>
      <c r="E14" s="117">
        <v>2.9</v>
      </c>
      <c r="F14" s="117">
        <v>2.9</v>
      </c>
      <c r="G14" s="118">
        <v>22</v>
      </c>
      <c r="H14" s="119">
        <f>G14+E14</f>
        <v>24.9</v>
      </c>
      <c r="I14" s="35">
        <f t="shared" si="1"/>
        <v>3</v>
      </c>
      <c r="J14" s="35">
        <f>E14*100/H14</f>
        <v>12</v>
      </c>
    </row>
    <row r="15" spans="1:10" s="14" customFormat="1" ht="47.25">
      <c r="A15" s="15"/>
      <c r="B15" s="9"/>
      <c r="C15" s="9" t="s">
        <v>112</v>
      </c>
      <c r="D15" s="115">
        <f>D16+D17+D18+D19</f>
        <v>97061.6</v>
      </c>
      <c r="E15" s="115">
        <f>E16+E17+E18+E19</f>
        <v>76846.2</v>
      </c>
      <c r="F15" s="115">
        <f>F16+F17+F18+F19</f>
        <v>76846.2</v>
      </c>
      <c r="G15" s="115">
        <f>G16+G17+G18+G19</f>
        <v>22135.9</v>
      </c>
      <c r="H15" s="115">
        <f>H16+H17+H18+H19</f>
        <v>98982.1</v>
      </c>
      <c r="I15" s="62">
        <f>E15*100/D15</f>
        <v>79</v>
      </c>
      <c r="J15" s="62">
        <f t="shared" si="2"/>
        <v>78</v>
      </c>
    </row>
    <row r="16" spans="1:10" s="14" customFormat="1" ht="31.5">
      <c r="A16" s="11" t="s">
        <v>127</v>
      </c>
      <c r="B16" s="12">
        <v>226900</v>
      </c>
      <c r="C16" s="12" t="s">
        <v>30</v>
      </c>
      <c r="D16" s="116">
        <f>'РОСПИСЬ на 30092016'!D16/12*9</f>
        <v>34802.7</v>
      </c>
      <c r="E16" s="120">
        <v>26742.9</v>
      </c>
      <c r="F16" s="120">
        <v>26742.9</v>
      </c>
      <c r="G16" s="120">
        <v>10304.5</v>
      </c>
      <c r="H16" s="119">
        <f aca="true" t="shared" si="3" ref="H16:H80">G16+E16</f>
        <v>37047.4</v>
      </c>
      <c r="I16" s="35">
        <f t="shared" si="1"/>
        <v>77</v>
      </c>
      <c r="J16" s="35">
        <f t="shared" si="2"/>
        <v>72</v>
      </c>
    </row>
    <row r="17" spans="1:10" s="14" customFormat="1" ht="15.75">
      <c r="A17" s="11" t="s">
        <v>128</v>
      </c>
      <c r="B17" s="12">
        <v>262200</v>
      </c>
      <c r="C17" s="12" t="s">
        <v>68</v>
      </c>
      <c r="D17" s="116">
        <f>'РОСПИСЬ на 30092016'!D17/12*9</f>
        <v>1125</v>
      </c>
      <c r="E17" s="117">
        <v>822.5</v>
      </c>
      <c r="F17" s="117">
        <v>822.5</v>
      </c>
      <c r="G17" s="118">
        <v>0</v>
      </c>
      <c r="H17" s="119">
        <f t="shared" si="3"/>
        <v>822.5</v>
      </c>
      <c r="I17" s="35">
        <f t="shared" si="1"/>
        <v>73</v>
      </c>
      <c r="J17" s="35">
        <f t="shared" si="2"/>
        <v>100</v>
      </c>
    </row>
    <row r="18" spans="1:10" s="14" customFormat="1" ht="48.75" customHeight="1">
      <c r="A18" s="11" t="s">
        <v>126</v>
      </c>
      <c r="B18" s="12">
        <v>251000</v>
      </c>
      <c r="C18" s="12" t="s">
        <v>30</v>
      </c>
      <c r="D18" s="116">
        <f>'РОСПИСЬ на 30092016'!D18</f>
        <v>11831.4</v>
      </c>
      <c r="E18" s="117">
        <v>0</v>
      </c>
      <c r="F18" s="117">
        <v>0</v>
      </c>
      <c r="G18" s="118">
        <v>11831.4</v>
      </c>
      <c r="H18" s="119">
        <f t="shared" si="3"/>
        <v>11831.4</v>
      </c>
      <c r="I18" s="35">
        <f t="shared" si="1"/>
        <v>0</v>
      </c>
      <c r="J18" s="35">
        <f t="shared" si="2"/>
        <v>0</v>
      </c>
    </row>
    <row r="19" spans="1:10" s="14" customFormat="1" ht="47.25">
      <c r="A19" s="11" t="s">
        <v>191</v>
      </c>
      <c r="B19" s="12">
        <v>226900</v>
      </c>
      <c r="C19" s="12" t="s">
        <v>226</v>
      </c>
      <c r="D19" s="116">
        <v>49302.5</v>
      </c>
      <c r="E19" s="117">
        <v>49280.8</v>
      </c>
      <c r="F19" s="117">
        <v>49280.8</v>
      </c>
      <c r="G19" s="118">
        <v>0</v>
      </c>
      <c r="H19" s="119">
        <f t="shared" si="3"/>
        <v>49280.8</v>
      </c>
      <c r="I19" s="35">
        <f t="shared" si="1"/>
        <v>100</v>
      </c>
      <c r="J19" s="35">
        <f t="shared" si="2"/>
        <v>100</v>
      </c>
    </row>
    <row r="20" spans="1:10" s="14" customFormat="1" ht="15.75">
      <c r="A20" s="2" t="s">
        <v>92</v>
      </c>
      <c r="B20" s="33"/>
      <c r="C20" s="1" t="s">
        <v>93</v>
      </c>
      <c r="D20" s="115">
        <f>D21+D24+D47+D57+D104</f>
        <v>3344145.5</v>
      </c>
      <c r="E20" s="115">
        <f>E21+E24+E47+E57+E104</f>
        <v>3129691.5</v>
      </c>
      <c r="F20" s="115">
        <f>F21+F24+F47+F57+F104</f>
        <v>3129691.5</v>
      </c>
      <c r="G20" s="115">
        <f>G21+G24+G47+G57+G104</f>
        <v>177387.4</v>
      </c>
      <c r="H20" s="115">
        <f>H21+H24+H47+H57+H104</f>
        <v>3307078.9</v>
      </c>
      <c r="I20" s="62">
        <f t="shared" si="1"/>
        <v>94</v>
      </c>
      <c r="J20" s="62">
        <f t="shared" si="2"/>
        <v>95</v>
      </c>
    </row>
    <row r="21" spans="1:10" s="14" customFormat="1" ht="47.25">
      <c r="A21" s="16" t="s">
        <v>62</v>
      </c>
      <c r="B21" s="16"/>
      <c r="C21" s="17" t="s">
        <v>21</v>
      </c>
      <c r="D21" s="121">
        <f>SUM(D22:D23)</f>
        <v>179102.8</v>
      </c>
      <c r="E21" s="121">
        <f>SUM(E22:E23)</f>
        <v>174962.2</v>
      </c>
      <c r="F21" s="121">
        <f>SUM(F22:F23)</f>
        <v>174962.2</v>
      </c>
      <c r="G21" s="121">
        <f>SUM(G22:G23)</f>
        <v>22117.7</v>
      </c>
      <c r="H21" s="121">
        <f>SUM(H22:H23)</f>
        <v>197079.9</v>
      </c>
      <c r="I21" s="62">
        <f t="shared" si="1"/>
        <v>98</v>
      </c>
      <c r="J21" s="62">
        <f t="shared" si="2"/>
        <v>89</v>
      </c>
    </row>
    <row r="22" spans="1:10" s="14" customFormat="1" ht="47.25">
      <c r="A22" s="19" t="s">
        <v>129</v>
      </c>
      <c r="B22" s="19" t="s">
        <v>44</v>
      </c>
      <c r="C22" s="20" t="s">
        <v>63</v>
      </c>
      <c r="D22" s="116">
        <f>'РОСПИСЬ на 30092016'!D22/12*9.5</f>
        <v>106289</v>
      </c>
      <c r="E22" s="122">
        <v>104787.3</v>
      </c>
      <c r="F22" s="117">
        <v>104787.3</v>
      </c>
      <c r="G22" s="118">
        <v>13011.3</v>
      </c>
      <c r="H22" s="119">
        <f t="shared" si="3"/>
        <v>117798.6</v>
      </c>
      <c r="I22" s="35">
        <f t="shared" si="1"/>
        <v>99</v>
      </c>
      <c r="J22" s="35">
        <f t="shared" si="2"/>
        <v>89</v>
      </c>
    </row>
    <row r="23" spans="1:10" s="14" customFormat="1" ht="50.25" customHeight="1">
      <c r="A23" s="19" t="s">
        <v>130</v>
      </c>
      <c r="B23" s="19" t="s">
        <v>44</v>
      </c>
      <c r="C23" s="20" t="s">
        <v>64</v>
      </c>
      <c r="D23" s="116">
        <f>'РОСПИСЬ на 30092016'!D23/12*9</f>
        <v>72813.8</v>
      </c>
      <c r="E23" s="122">
        <v>70174.9</v>
      </c>
      <c r="F23" s="120">
        <v>70174.9</v>
      </c>
      <c r="G23" s="123">
        <v>9106.4</v>
      </c>
      <c r="H23" s="119">
        <f t="shared" si="3"/>
        <v>79281.3</v>
      </c>
      <c r="I23" s="35">
        <f t="shared" si="1"/>
        <v>96</v>
      </c>
      <c r="J23" s="35">
        <f t="shared" si="2"/>
        <v>89</v>
      </c>
    </row>
    <row r="24" spans="1:10" s="18" customFormat="1" ht="15.75">
      <c r="A24" s="16" t="s">
        <v>71</v>
      </c>
      <c r="B24" s="16"/>
      <c r="C24" s="17" t="s">
        <v>72</v>
      </c>
      <c r="D24" s="115">
        <f>D25+D36</f>
        <v>689389.1</v>
      </c>
      <c r="E24" s="115">
        <f>E25+E36</f>
        <v>602264.5</v>
      </c>
      <c r="F24" s="115">
        <f>F25+F36</f>
        <v>602264.5</v>
      </c>
      <c r="G24" s="115">
        <f>G25+G36</f>
        <v>8841</v>
      </c>
      <c r="H24" s="115">
        <f>H25+H36</f>
        <v>611105.5</v>
      </c>
      <c r="I24" s="62">
        <f t="shared" si="1"/>
        <v>87</v>
      </c>
      <c r="J24" s="62">
        <f t="shared" si="2"/>
        <v>99</v>
      </c>
    </row>
    <row r="25" spans="1:10" s="18" customFormat="1" ht="31.5">
      <c r="A25" s="16" t="s">
        <v>131</v>
      </c>
      <c r="B25" s="16"/>
      <c r="C25" s="3" t="s">
        <v>73</v>
      </c>
      <c r="D25" s="115">
        <f>D26+D34+D35</f>
        <v>233961.8</v>
      </c>
      <c r="E25" s="115">
        <f>E26+E34+E35</f>
        <v>196770.4</v>
      </c>
      <c r="F25" s="115">
        <f>F26+F34+F35</f>
        <v>196770.4</v>
      </c>
      <c r="G25" s="115">
        <f>G26+G34+G35</f>
        <v>2352.3</v>
      </c>
      <c r="H25" s="115">
        <f>H26+H34+H35</f>
        <v>199122.7</v>
      </c>
      <c r="I25" s="62">
        <f t="shared" si="1"/>
        <v>84</v>
      </c>
      <c r="J25" s="62">
        <f t="shared" si="2"/>
        <v>99</v>
      </c>
    </row>
    <row r="26" spans="1:10" s="18" customFormat="1" ht="31.5">
      <c r="A26" s="44"/>
      <c r="B26" s="44"/>
      <c r="C26" s="42" t="s">
        <v>74</v>
      </c>
      <c r="D26" s="123">
        <f>D27+D28+D29+D30+D31+D32+D33</f>
        <v>167616.5</v>
      </c>
      <c r="E26" s="123">
        <f>E27+E28+E29+E30+E31+E32+E33</f>
        <v>160928.5</v>
      </c>
      <c r="F26" s="123">
        <f>F27+F28+F29+F30+F31+F32+F33</f>
        <v>160928.5</v>
      </c>
      <c r="G26" s="123">
        <f>G27+G28+G29+G30+G31+G32+G33</f>
        <v>2352.3</v>
      </c>
      <c r="H26" s="123">
        <f>H27+H28+H29+H30+H31+H32+H33</f>
        <v>163280.8</v>
      </c>
      <c r="I26" s="35">
        <f t="shared" si="1"/>
        <v>96</v>
      </c>
      <c r="J26" s="35">
        <f t="shared" si="2"/>
        <v>99</v>
      </c>
    </row>
    <row r="27" spans="1:10" s="18" customFormat="1" ht="15.75">
      <c r="A27" s="38" t="s">
        <v>132</v>
      </c>
      <c r="B27" s="41" t="s">
        <v>75</v>
      </c>
      <c r="C27" s="39" t="s">
        <v>227</v>
      </c>
      <c r="D27" s="116">
        <f>'РОСПИСЬ на 30092016'!D27/12*9.5</f>
        <v>124031.9</v>
      </c>
      <c r="E27" s="120">
        <v>122399.1</v>
      </c>
      <c r="F27" s="120">
        <v>122399.1</v>
      </c>
      <c r="G27" s="120">
        <v>7.7</v>
      </c>
      <c r="H27" s="119">
        <f t="shared" si="3"/>
        <v>122406.8</v>
      </c>
      <c r="I27" s="35">
        <f t="shared" si="1"/>
        <v>99</v>
      </c>
      <c r="J27" s="35">
        <f t="shared" si="2"/>
        <v>100</v>
      </c>
    </row>
    <row r="28" spans="1:10" s="18" customFormat="1" ht="15.75">
      <c r="A28" s="38"/>
      <c r="B28" s="41" t="s">
        <v>31</v>
      </c>
      <c r="C28" s="39" t="s">
        <v>76</v>
      </c>
      <c r="D28" s="116">
        <f>'РОСПИСЬ на 30092016'!D28/12*9</f>
        <v>409.3</v>
      </c>
      <c r="E28" s="120">
        <v>264.4</v>
      </c>
      <c r="F28" s="120">
        <v>264.4</v>
      </c>
      <c r="G28" s="123">
        <v>20.7</v>
      </c>
      <c r="H28" s="119">
        <f t="shared" si="3"/>
        <v>285.1</v>
      </c>
      <c r="I28" s="35">
        <f t="shared" si="1"/>
        <v>65</v>
      </c>
      <c r="J28" s="35">
        <f t="shared" si="2"/>
        <v>93</v>
      </c>
    </row>
    <row r="29" spans="1:10" s="18" customFormat="1" ht="15.75">
      <c r="A29" s="38"/>
      <c r="B29" s="41" t="s">
        <v>77</v>
      </c>
      <c r="C29" s="39" t="s">
        <v>78</v>
      </c>
      <c r="D29" s="116">
        <f>'РОСПИСЬ на 30092016'!D29/12*9</f>
        <v>16770.2</v>
      </c>
      <c r="E29" s="120">
        <v>14080.4</v>
      </c>
      <c r="F29" s="120">
        <v>14080.4</v>
      </c>
      <c r="G29" s="123">
        <v>919.1</v>
      </c>
      <c r="H29" s="119">
        <f t="shared" si="3"/>
        <v>14999.5</v>
      </c>
      <c r="I29" s="35">
        <f t="shared" si="1"/>
        <v>84</v>
      </c>
      <c r="J29" s="35">
        <f t="shared" si="2"/>
        <v>94</v>
      </c>
    </row>
    <row r="30" spans="1:10" s="18" customFormat="1" ht="15.75">
      <c r="A30" s="38"/>
      <c r="B30" s="41" t="s">
        <v>79</v>
      </c>
      <c r="C30" s="39" t="s">
        <v>80</v>
      </c>
      <c r="D30" s="116">
        <f>'РОСПИСЬ на 30092016'!D30/12*10</f>
        <v>15338.4</v>
      </c>
      <c r="E30" s="117">
        <v>14752.3</v>
      </c>
      <c r="F30" s="117">
        <v>14752.3</v>
      </c>
      <c r="G30" s="117">
        <v>1072.7</v>
      </c>
      <c r="H30" s="119">
        <f t="shared" si="3"/>
        <v>15825</v>
      </c>
      <c r="I30" s="35">
        <f t="shared" si="1"/>
        <v>96</v>
      </c>
      <c r="J30" s="35">
        <f t="shared" si="2"/>
        <v>93</v>
      </c>
    </row>
    <row r="31" spans="1:10" s="18" customFormat="1" ht="15.75">
      <c r="A31" s="38"/>
      <c r="B31" s="41" t="s">
        <v>81</v>
      </c>
      <c r="C31" s="39" t="s">
        <v>82</v>
      </c>
      <c r="D31" s="116">
        <f>'РОСПИСЬ на 30092016'!D31/12*9</f>
        <v>796.4</v>
      </c>
      <c r="E31" s="117">
        <v>268.5</v>
      </c>
      <c r="F31" s="117">
        <v>268.5</v>
      </c>
      <c r="G31" s="117">
        <v>193.8</v>
      </c>
      <c r="H31" s="119">
        <f t="shared" si="3"/>
        <v>462.3</v>
      </c>
      <c r="I31" s="35">
        <f t="shared" si="1"/>
        <v>34</v>
      </c>
      <c r="J31" s="35">
        <f t="shared" si="2"/>
        <v>58</v>
      </c>
    </row>
    <row r="32" spans="1:10" s="18" customFormat="1" ht="15.75">
      <c r="A32" s="38"/>
      <c r="B32" s="41" t="s">
        <v>83</v>
      </c>
      <c r="C32" s="39" t="s">
        <v>84</v>
      </c>
      <c r="D32" s="116">
        <f>'РОСПИСЬ на 30092016'!D32/12*11</f>
        <v>8151.3</v>
      </c>
      <c r="E32" s="117">
        <v>7760.8</v>
      </c>
      <c r="F32" s="117">
        <v>7760.8</v>
      </c>
      <c r="G32" s="117">
        <v>33.3</v>
      </c>
      <c r="H32" s="119">
        <f t="shared" si="3"/>
        <v>7794.1</v>
      </c>
      <c r="I32" s="35">
        <f t="shared" si="1"/>
        <v>95</v>
      </c>
      <c r="J32" s="35">
        <f t="shared" si="2"/>
        <v>100</v>
      </c>
    </row>
    <row r="33" spans="1:10" s="18" customFormat="1" ht="15.75">
      <c r="A33" s="38"/>
      <c r="B33" s="41"/>
      <c r="C33" s="39" t="s">
        <v>85</v>
      </c>
      <c r="D33" s="116">
        <f>'РОСПИСЬ на 30092016'!D33/12*9</f>
        <v>2119</v>
      </c>
      <c r="E33" s="117">
        <f>1465.2-62.2</f>
        <v>1403</v>
      </c>
      <c r="F33" s="117">
        <f>1465.2-62.2</f>
        <v>1403</v>
      </c>
      <c r="G33" s="117">
        <v>105</v>
      </c>
      <c r="H33" s="119">
        <f t="shared" si="3"/>
        <v>1508</v>
      </c>
      <c r="I33" s="35">
        <f t="shared" si="1"/>
        <v>66</v>
      </c>
      <c r="J33" s="35">
        <f t="shared" si="2"/>
        <v>93</v>
      </c>
    </row>
    <row r="34" spans="1:10" s="18" customFormat="1" ht="15.75">
      <c r="A34" s="27" t="s">
        <v>133</v>
      </c>
      <c r="B34" s="27"/>
      <c r="C34" s="28" t="s">
        <v>87</v>
      </c>
      <c r="D34" s="116">
        <f>'РОСПИСЬ на 30092016'!D34/12*9</f>
        <v>1474.1</v>
      </c>
      <c r="E34" s="117">
        <v>0</v>
      </c>
      <c r="F34" s="117">
        <v>0</v>
      </c>
      <c r="G34" s="117">
        <v>0</v>
      </c>
      <c r="H34" s="119">
        <f t="shared" si="3"/>
        <v>0</v>
      </c>
      <c r="I34" s="35">
        <f t="shared" si="1"/>
        <v>0</v>
      </c>
      <c r="J34" s="35">
        <v>0</v>
      </c>
    </row>
    <row r="35" spans="1:12" s="18" customFormat="1" ht="31.5">
      <c r="A35" s="27" t="s">
        <v>134</v>
      </c>
      <c r="B35" s="27"/>
      <c r="C35" s="28" t="s">
        <v>88</v>
      </c>
      <c r="D35" s="116">
        <f>'РОСПИСЬ на 30092016'!D35/12*9</f>
        <v>64871.2</v>
      </c>
      <c r="E35" s="117">
        <v>35841.9</v>
      </c>
      <c r="F35" s="117">
        <v>35841.9</v>
      </c>
      <c r="G35" s="124">
        <v>0</v>
      </c>
      <c r="H35" s="119">
        <f>G35+E35</f>
        <v>35841.9</v>
      </c>
      <c r="I35" s="35">
        <f t="shared" si="1"/>
        <v>55</v>
      </c>
      <c r="J35" s="35">
        <f t="shared" si="2"/>
        <v>100</v>
      </c>
      <c r="L35" s="94">
        <f>G24+G49</f>
        <v>8841.8</v>
      </c>
    </row>
    <row r="36" spans="1:10" s="18" customFormat="1" ht="31.5">
      <c r="A36" s="44" t="s">
        <v>131</v>
      </c>
      <c r="B36" s="44"/>
      <c r="C36" s="28" t="s">
        <v>89</v>
      </c>
      <c r="D36" s="115">
        <f>D37+D45+D46</f>
        <v>455427.3</v>
      </c>
      <c r="E36" s="115">
        <f>E37+E45+E46</f>
        <v>405494.1</v>
      </c>
      <c r="F36" s="115">
        <f>F37+F45+F46</f>
        <v>405494.1</v>
      </c>
      <c r="G36" s="115">
        <f>G37+G45+G46</f>
        <v>6488.7</v>
      </c>
      <c r="H36" s="115">
        <f>H37+H45+H46</f>
        <v>411982.8</v>
      </c>
      <c r="I36" s="62">
        <f t="shared" si="1"/>
        <v>89</v>
      </c>
      <c r="J36" s="62">
        <f t="shared" si="2"/>
        <v>98</v>
      </c>
    </row>
    <row r="37" spans="1:10" s="18" customFormat="1" ht="31.5">
      <c r="A37" s="44"/>
      <c r="B37" s="44"/>
      <c r="C37" s="42" t="s">
        <v>74</v>
      </c>
      <c r="D37" s="123">
        <f>D38+D39+D40+D41+D42+D43+D44</f>
        <v>421844.8</v>
      </c>
      <c r="E37" s="123">
        <f>E38+E39+E40+E41+E42+E43+E44</f>
        <v>388949</v>
      </c>
      <c r="F37" s="123">
        <f>F38+F39+F40+F41+F42+F43+F44</f>
        <v>388949</v>
      </c>
      <c r="G37" s="123">
        <f>G38+G39+G40+G41+G42+G43+G44</f>
        <v>6488.7</v>
      </c>
      <c r="H37" s="123">
        <f>H38+H39+H40+H41+H42+H43+H44</f>
        <v>395437.7</v>
      </c>
      <c r="I37" s="35">
        <f t="shared" si="1"/>
        <v>92</v>
      </c>
      <c r="J37" s="35">
        <f t="shared" si="2"/>
        <v>98</v>
      </c>
    </row>
    <row r="38" spans="1:10" s="18" customFormat="1" ht="15.75">
      <c r="A38" s="48" t="s">
        <v>132</v>
      </c>
      <c r="B38" s="41" t="s">
        <v>75</v>
      </c>
      <c r="C38" s="39" t="s">
        <v>90</v>
      </c>
      <c r="D38" s="116">
        <f>'РОСПИСЬ на 30092016'!D38/12*9.5</f>
        <v>348553.7</v>
      </c>
      <c r="E38" s="120">
        <v>333995.9</v>
      </c>
      <c r="F38" s="120">
        <v>333995.9</v>
      </c>
      <c r="G38" s="123">
        <v>63.6</v>
      </c>
      <c r="H38" s="119">
        <f t="shared" si="3"/>
        <v>334059.5</v>
      </c>
      <c r="I38" s="35">
        <f t="shared" si="1"/>
        <v>96</v>
      </c>
      <c r="J38" s="35">
        <f t="shared" si="2"/>
        <v>100</v>
      </c>
    </row>
    <row r="39" spans="1:10" s="18" customFormat="1" ht="15.75">
      <c r="A39" s="44"/>
      <c r="B39" s="41" t="s">
        <v>31</v>
      </c>
      <c r="C39" s="39" t="s">
        <v>76</v>
      </c>
      <c r="D39" s="116">
        <f>'РОСПИСЬ на 30092016'!D39/12*9</f>
        <v>1661.7</v>
      </c>
      <c r="E39" s="120">
        <v>1472.3</v>
      </c>
      <c r="F39" s="120">
        <v>1472.3</v>
      </c>
      <c r="G39" s="120">
        <v>54.5</v>
      </c>
      <c r="H39" s="119">
        <f t="shared" si="3"/>
        <v>1526.8</v>
      </c>
      <c r="I39" s="35">
        <f t="shared" si="1"/>
        <v>89</v>
      </c>
      <c r="J39" s="35">
        <f t="shared" si="2"/>
        <v>96</v>
      </c>
    </row>
    <row r="40" spans="1:10" s="18" customFormat="1" ht="15.75">
      <c r="A40" s="44"/>
      <c r="B40" s="41" t="s">
        <v>77</v>
      </c>
      <c r="C40" s="39" t="s">
        <v>78</v>
      </c>
      <c r="D40" s="116">
        <f>'РОСПИСЬ на 30092016'!D40/12*9</f>
        <v>16117.5</v>
      </c>
      <c r="E40" s="117">
        <v>10985.4</v>
      </c>
      <c r="F40" s="117">
        <v>10985.4</v>
      </c>
      <c r="G40" s="123">
        <v>687.6</v>
      </c>
      <c r="H40" s="119">
        <f t="shared" si="3"/>
        <v>11673</v>
      </c>
      <c r="I40" s="35">
        <f t="shared" si="1"/>
        <v>68</v>
      </c>
      <c r="J40" s="35">
        <f t="shared" si="2"/>
        <v>94</v>
      </c>
    </row>
    <row r="41" spans="1:10" s="43" customFormat="1" ht="15.75">
      <c r="A41" s="44"/>
      <c r="B41" s="41" t="s">
        <v>79</v>
      </c>
      <c r="C41" s="39" t="s">
        <v>80</v>
      </c>
      <c r="D41" s="116">
        <f>'РОСПИСЬ на 30092016'!D41/12*9</f>
        <v>29221.4</v>
      </c>
      <c r="E41" s="117">
        <v>25827.5</v>
      </c>
      <c r="F41" s="117">
        <v>25827.5</v>
      </c>
      <c r="G41" s="123">
        <v>1968.9</v>
      </c>
      <c r="H41" s="125">
        <f t="shared" si="3"/>
        <v>27796.4</v>
      </c>
      <c r="I41" s="35">
        <f t="shared" si="1"/>
        <v>88</v>
      </c>
      <c r="J41" s="35">
        <f t="shared" si="2"/>
        <v>93</v>
      </c>
    </row>
    <row r="42" spans="1:10" s="18" customFormat="1" ht="15.75">
      <c r="A42" s="44"/>
      <c r="B42" s="41" t="s">
        <v>81</v>
      </c>
      <c r="C42" s="39" t="s">
        <v>82</v>
      </c>
      <c r="D42" s="116">
        <f>'РОСПИСЬ на 30092016'!D42/12*9</f>
        <v>2494.1</v>
      </c>
      <c r="E42" s="117">
        <v>2296.7</v>
      </c>
      <c r="F42" s="117">
        <v>2296.7</v>
      </c>
      <c r="G42" s="117">
        <v>733.9</v>
      </c>
      <c r="H42" s="119">
        <f t="shared" si="3"/>
        <v>3030.6</v>
      </c>
      <c r="I42" s="35">
        <f t="shared" si="1"/>
        <v>92</v>
      </c>
      <c r="J42" s="35">
        <f t="shared" si="2"/>
        <v>76</v>
      </c>
    </row>
    <row r="43" spans="1:10" s="18" customFormat="1" ht="15.75">
      <c r="A43" s="44"/>
      <c r="B43" s="41" t="s">
        <v>83</v>
      </c>
      <c r="C43" s="39" t="s">
        <v>84</v>
      </c>
      <c r="D43" s="116">
        <f>'РОСПИСЬ на 30092016'!D43/12*9</f>
        <v>6670.5</v>
      </c>
      <c r="E43" s="117">
        <v>5842.9</v>
      </c>
      <c r="F43" s="117">
        <v>5842.9</v>
      </c>
      <c r="G43" s="117">
        <v>12.4</v>
      </c>
      <c r="H43" s="119">
        <f>G43+E43</f>
        <v>5855.3</v>
      </c>
      <c r="I43" s="35">
        <f t="shared" si="1"/>
        <v>88</v>
      </c>
      <c r="J43" s="35">
        <f t="shared" si="2"/>
        <v>100</v>
      </c>
    </row>
    <row r="44" spans="1:10" s="18" customFormat="1" ht="15.75">
      <c r="A44" s="44"/>
      <c r="B44" s="41"/>
      <c r="C44" s="39" t="s">
        <v>85</v>
      </c>
      <c r="D44" s="116">
        <f>'РОСПИСЬ на 30092016'!D44/12*9</f>
        <v>17125.9</v>
      </c>
      <c r="E44" s="117">
        <v>8528.3</v>
      </c>
      <c r="F44" s="117">
        <v>8528.3</v>
      </c>
      <c r="G44" s="117">
        <v>2967.8</v>
      </c>
      <c r="H44" s="119">
        <f t="shared" si="3"/>
        <v>11496.1</v>
      </c>
      <c r="I44" s="35">
        <f t="shared" si="1"/>
        <v>50</v>
      </c>
      <c r="J44" s="35">
        <f t="shared" si="2"/>
        <v>74</v>
      </c>
    </row>
    <row r="45" spans="1:10" s="18" customFormat="1" ht="15.75">
      <c r="A45" s="27" t="s">
        <v>133</v>
      </c>
      <c r="B45" s="27"/>
      <c r="C45" s="28" t="s">
        <v>87</v>
      </c>
      <c r="D45" s="116">
        <f>'РОСПИСЬ на 30092016'!D45/12*9</f>
        <v>27919.8</v>
      </c>
      <c r="E45" s="117">
        <v>13267.7</v>
      </c>
      <c r="F45" s="117">
        <v>13267.7</v>
      </c>
      <c r="G45" s="117">
        <v>0</v>
      </c>
      <c r="H45" s="119">
        <f t="shared" si="3"/>
        <v>13267.7</v>
      </c>
      <c r="I45" s="35">
        <f t="shared" si="1"/>
        <v>48</v>
      </c>
      <c r="J45" s="35">
        <f t="shared" si="2"/>
        <v>100</v>
      </c>
    </row>
    <row r="46" spans="1:10" s="18" customFormat="1" ht="31.5">
      <c r="A46" s="27" t="s">
        <v>133</v>
      </c>
      <c r="B46" s="27"/>
      <c r="C46" s="28" t="s">
        <v>88</v>
      </c>
      <c r="D46" s="116">
        <f>'РОСПИСЬ на 30092016'!D46/12*9</f>
        <v>5662.7</v>
      </c>
      <c r="E46" s="117">
        <v>3277.4</v>
      </c>
      <c r="F46" s="117">
        <v>3277.4</v>
      </c>
      <c r="G46" s="117">
        <v>0</v>
      </c>
      <c r="H46" s="119">
        <f t="shared" si="3"/>
        <v>3277.4</v>
      </c>
      <c r="I46" s="35">
        <f t="shared" si="1"/>
        <v>58</v>
      </c>
      <c r="J46" s="35">
        <f t="shared" si="2"/>
        <v>100</v>
      </c>
    </row>
    <row r="47" spans="1:13" s="18" customFormat="1" ht="47.25">
      <c r="A47" s="27" t="s">
        <v>136</v>
      </c>
      <c r="B47" s="27"/>
      <c r="C47" s="28" t="s">
        <v>106</v>
      </c>
      <c r="D47" s="96">
        <f>D48+D55+D56</f>
        <v>106713.5</v>
      </c>
      <c r="E47" s="96">
        <f>E48+E55+E56</f>
        <v>96777</v>
      </c>
      <c r="F47" s="96">
        <f>F48+F55+F56</f>
        <v>96777</v>
      </c>
      <c r="G47" s="96">
        <f>G48+G55+G56</f>
        <v>6638.9</v>
      </c>
      <c r="H47" s="96">
        <f>H48+H55+H56</f>
        <v>103415.9</v>
      </c>
      <c r="I47" s="62">
        <f t="shared" si="1"/>
        <v>91</v>
      </c>
      <c r="J47" s="62">
        <f t="shared" si="2"/>
        <v>94</v>
      </c>
      <c r="M47" s="154">
        <f>D49+D50+D51+D52+D53+D54+D24</f>
        <v>785964.2</v>
      </c>
    </row>
    <row r="48" spans="1:10" s="18" customFormat="1" ht="47.25">
      <c r="A48" s="27" t="s">
        <v>137</v>
      </c>
      <c r="B48" s="27"/>
      <c r="C48" s="28" t="s">
        <v>111</v>
      </c>
      <c r="D48" s="96">
        <f>D49+D50+D51+D52+D53+D54</f>
        <v>96575.1</v>
      </c>
      <c r="E48" s="96">
        <f>E49+E50+E51+E52+E53+E54</f>
        <v>91736.8</v>
      </c>
      <c r="F48" s="96">
        <f>F49+F50+F51+F52+F53+F54</f>
        <v>91736.8</v>
      </c>
      <c r="G48" s="96">
        <f>G49+G50+G51+G52+G53+G54</f>
        <v>2416.1</v>
      </c>
      <c r="H48" s="96">
        <f>H49+H50+H51+H52+H53+H54</f>
        <v>94152.9</v>
      </c>
      <c r="I48" s="62">
        <f t="shared" si="1"/>
        <v>95</v>
      </c>
      <c r="J48" s="62">
        <f t="shared" si="2"/>
        <v>97</v>
      </c>
    </row>
    <row r="49" spans="1:10" ht="15.75">
      <c r="A49" s="59"/>
      <c r="B49" s="41" t="s">
        <v>75</v>
      </c>
      <c r="C49" s="39" t="s">
        <v>228</v>
      </c>
      <c r="D49" s="116">
        <f>'РОСПИСЬ на 30092016'!D49/12*9.5</f>
        <v>76498.9</v>
      </c>
      <c r="E49" s="123">
        <v>74978.1</v>
      </c>
      <c r="F49" s="123">
        <v>74978.1</v>
      </c>
      <c r="G49" s="123">
        <v>0.8</v>
      </c>
      <c r="H49" s="119">
        <f t="shared" si="3"/>
        <v>74978.9</v>
      </c>
      <c r="I49" s="35">
        <f t="shared" si="1"/>
        <v>98</v>
      </c>
      <c r="J49" s="35">
        <f t="shared" si="2"/>
        <v>100</v>
      </c>
    </row>
    <row r="50" spans="1:10" ht="15.75">
      <c r="A50" s="27"/>
      <c r="B50" s="41" t="s">
        <v>31</v>
      </c>
      <c r="C50" s="39" t="s">
        <v>76</v>
      </c>
      <c r="D50" s="116">
        <f>'РОСПИСЬ на 30092016'!D50/12*9</f>
        <v>2205.7</v>
      </c>
      <c r="E50" s="123">
        <v>2110.3</v>
      </c>
      <c r="F50" s="123">
        <v>2110.3</v>
      </c>
      <c r="G50" s="123">
        <v>61.3</v>
      </c>
      <c r="H50" s="119">
        <f t="shared" si="3"/>
        <v>2171.6</v>
      </c>
      <c r="I50" s="35">
        <f t="shared" si="1"/>
        <v>96</v>
      </c>
      <c r="J50" s="35">
        <f t="shared" si="2"/>
        <v>97</v>
      </c>
    </row>
    <row r="51" spans="1:10" ht="15.75">
      <c r="A51" s="27"/>
      <c r="B51" s="41" t="s">
        <v>77</v>
      </c>
      <c r="C51" s="39" t="s">
        <v>78</v>
      </c>
      <c r="D51" s="116">
        <f>'РОСПИСЬ на 30092016'!D51/12*9</f>
        <v>3144.7</v>
      </c>
      <c r="E51" s="120">
        <v>2426.8</v>
      </c>
      <c r="F51" s="120">
        <v>2426.8</v>
      </c>
      <c r="G51" s="123">
        <v>5.9</v>
      </c>
      <c r="H51" s="119">
        <f t="shared" si="3"/>
        <v>2432.7</v>
      </c>
      <c r="I51" s="35">
        <f t="shared" si="1"/>
        <v>77</v>
      </c>
      <c r="J51" s="35">
        <f t="shared" si="2"/>
        <v>100</v>
      </c>
    </row>
    <row r="52" spans="1:10" s="26" customFormat="1" ht="31.5">
      <c r="A52" s="27"/>
      <c r="B52" s="41" t="s">
        <v>107</v>
      </c>
      <c r="C52" s="42" t="s">
        <v>108</v>
      </c>
      <c r="D52" s="116">
        <f>'РОСПИСЬ на 30092016'!D52/12*9</f>
        <v>643.9</v>
      </c>
      <c r="E52" s="120">
        <v>391.4</v>
      </c>
      <c r="F52" s="120">
        <v>391.4</v>
      </c>
      <c r="G52" s="123">
        <v>202.1</v>
      </c>
      <c r="H52" s="119">
        <f t="shared" si="3"/>
        <v>593.5</v>
      </c>
      <c r="I52" s="35">
        <f t="shared" si="1"/>
        <v>61</v>
      </c>
      <c r="J52" s="35">
        <f t="shared" si="2"/>
        <v>66</v>
      </c>
    </row>
    <row r="53" spans="1:10" ht="15.75">
      <c r="A53" s="27"/>
      <c r="B53" s="41" t="s">
        <v>83</v>
      </c>
      <c r="C53" s="39" t="s">
        <v>84</v>
      </c>
      <c r="D53" s="116">
        <f>'РОСПИСЬ на 30092016'!D53/12*9</f>
        <v>919.1</v>
      </c>
      <c r="E53" s="120">
        <v>917.6</v>
      </c>
      <c r="F53" s="120">
        <v>917.6</v>
      </c>
      <c r="G53" s="120">
        <v>58.9</v>
      </c>
      <c r="H53" s="119">
        <f t="shared" si="3"/>
        <v>976.5</v>
      </c>
      <c r="I53" s="35">
        <f t="shared" si="1"/>
        <v>100</v>
      </c>
      <c r="J53" s="35">
        <f t="shared" si="2"/>
        <v>94</v>
      </c>
    </row>
    <row r="54" spans="1:10" s="24" customFormat="1" ht="15.75">
      <c r="A54" s="27"/>
      <c r="B54" s="41"/>
      <c r="C54" s="39" t="s">
        <v>85</v>
      </c>
      <c r="D54" s="116">
        <f>'РОСПИСЬ на 30092016'!D54/12*9</f>
        <v>13162.8</v>
      </c>
      <c r="E54" s="120">
        <v>10912.6</v>
      </c>
      <c r="F54" s="120">
        <v>10912.6</v>
      </c>
      <c r="G54" s="120">
        <v>2087.1</v>
      </c>
      <c r="H54" s="119">
        <f t="shared" si="3"/>
        <v>12999.7</v>
      </c>
      <c r="I54" s="35">
        <f t="shared" si="1"/>
        <v>83</v>
      </c>
      <c r="J54" s="35">
        <f t="shared" si="2"/>
        <v>84</v>
      </c>
    </row>
    <row r="55" spans="1:10" s="24" customFormat="1" ht="63">
      <c r="A55" s="52" t="s">
        <v>208</v>
      </c>
      <c r="B55" s="27"/>
      <c r="C55" s="28" t="s">
        <v>109</v>
      </c>
      <c r="D55" s="116">
        <f>'РОСПИСЬ на 30092016'!D55/12*9</f>
        <v>9139.2</v>
      </c>
      <c r="E55" s="120">
        <v>4433.3</v>
      </c>
      <c r="F55" s="120">
        <v>4433.3</v>
      </c>
      <c r="G55" s="119">
        <v>4222.8</v>
      </c>
      <c r="H55" s="119">
        <f t="shared" si="3"/>
        <v>8656.1</v>
      </c>
      <c r="I55" s="35">
        <f t="shared" si="1"/>
        <v>49</v>
      </c>
      <c r="J55" s="35">
        <f t="shared" si="2"/>
        <v>51</v>
      </c>
    </row>
    <row r="56" spans="1:10" s="24" customFormat="1" ht="47.25">
      <c r="A56" s="52" t="s">
        <v>187</v>
      </c>
      <c r="B56" s="27" t="s">
        <v>185</v>
      </c>
      <c r="C56" s="28" t="s">
        <v>186</v>
      </c>
      <c r="D56" s="116">
        <f>'РОСПИСЬ на 30092016'!D56/12*9</f>
        <v>999.2</v>
      </c>
      <c r="E56" s="120">
        <v>606.9</v>
      </c>
      <c r="F56" s="120">
        <v>606.9</v>
      </c>
      <c r="G56" s="119">
        <v>0</v>
      </c>
      <c r="H56" s="119">
        <f t="shared" si="3"/>
        <v>606.9</v>
      </c>
      <c r="I56" s="35">
        <f t="shared" si="1"/>
        <v>61</v>
      </c>
      <c r="J56" s="35">
        <f t="shared" si="2"/>
        <v>100</v>
      </c>
    </row>
    <row r="57" spans="1:10" s="29" customFormat="1" ht="15.75">
      <c r="A57" s="44" t="s">
        <v>174</v>
      </c>
      <c r="B57" s="44"/>
      <c r="C57" s="45" t="s">
        <v>9</v>
      </c>
      <c r="D57" s="96">
        <f>D58+D88+D95+D102</f>
        <v>2272779.1</v>
      </c>
      <c r="E57" s="96">
        <f>E58+E88+E95+E102</f>
        <v>2179107.1</v>
      </c>
      <c r="F57" s="96">
        <f>F58+F88+F95+F102</f>
        <v>2179107.1</v>
      </c>
      <c r="G57" s="96">
        <f>G58+G88+G95+G102</f>
        <v>137168.1</v>
      </c>
      <c r="H57" s="96">
        <f>H58+H88+H95+H102</f>
        <v>2316275.2</v>
      </c>
      <c r="I57" s="62">
        <f t="shared" si="1"/>
        <v>96</v>
      </c>
      <c r="J57" s="62">
        <f t="shared" si="2"/>
        <v>94</v>
      </c>
    </row>
    <row r="58" spans="1:12" s="29" customFormat="1" ht="20.25" customHeight="1">
      <c r="A58" s="44"/>
      <c r="B58" s="44"/>
      <c r="C58" s="45" t="s">
        <v>10</v>
      </c>
      <c r="D58" s="96">
        <f>D59+D60+D61+D62+D63+D64+D65+D66+D68+D71+D72+D73+D74+D75+D76+D79+D80+D81+D82+D85+D86+D87</f>
        <v>2227689.6</v>
      </c>
      <c r="E58" s="96">
        <f>E59+E60+E61+E62+E63+E64+E65+E66+E68+E71+E72+E73+E74+E75+E76+E79+E80+E81+E82+E85+E86+E87</f>
        <v>2137990.9</v>
      </c>
      <c r="F58" s="96">
        <f>F59+F60+F61+F62+F63+F64+F65+F66+F68+F71+F72+F73+F74+F75+F76+F79+F80+F81+F82+F85+F86+F87</f>
        <v>2137990.9</v>
      </c>
      <c r="G58" s="96">
        <f>G59+G60+G61+G62+G63+G64+G65+G66+G68+G71+G72+G73+G74+G75+G76+G79+G80+G81+G82+G85+G86+G87</f>
        <v>137168.1</v>
      </c>
      <c r="H58" s="96">
        <f>H59+H60+H61+H62+H63+H64+H65+H66+H68+H71+H72+H73+H74+H75+H76+H79+H80+H81+H82+H85+H86+H87</f>
        <v>2275159</v>
      </c>
      <c r="I58" s="62">
        <f t="shared" si="1"/>
        <v>96</v>
      </c>
      <c r="J58" s="62">
        <f t="shared" si="2"/>
        <v>94</v>
      </c>
      <c r="L58" s="29">
        <f>21282.3+10653.7+5104.3+813.7+80.9+6.6</f>
        <v>37941.5</v>
      </c>
    </row>
    <row r="59" spans="1:10" ht="47.25">
      <c r="A59" s="27" t="s">
        <v>139</v>
      </c>
      <c r="B59" s="27"/>
      <c r="C59" s="28" t="s">
        <v>110</v>
      </c>
      <c r="D59" s="126">
        <f>'РОСПИСЬ на 30092016'!D59/12*9.5</f>
        <v>170045.1</v>
      </c>
      <c r="E59" s="115">
        <v>169338.4</v>
      </c>
      <c r="F59" s="115">
        <v>169338.4</v>
      </c>
      <c r="G59" s="115">
        <v>2330.8</v>
      </c>
      <c r="H59" s="119">
        <f>G59+E59</f>
        <v>171669.2</v>
      </c>
      <c r="I59" s="62">
        <f t="shared" si="1"/>
        <v>100</v>
      </c>
      <c r="J59" s="62">
        <f t="shared" si="2"/>
        <v>99</v>
      </c>
    </row>
    <row r="60" spans="1:10" s="18" customFormat="1" ht="63">
      <c r="A60" s="27" t="s">
        <v>207</v>
      </c>
      <c r="B60" s="27"/>
      <c r="C60" s="28" t="s">
        <v>109</v>
      </c>
      <c r="D60" s="126">
        <f>'РОСПИСЬ на 30092016'!D60/12*9</f>
        <v>4562.9</v>
      </c>
      <c r="E60" s="115">
        <v>4278.3</v>
      </c>
      <c r="F60" s="115">
        <v>4278.3</v>
      </c>
      <c r="G60" s="115">
        <v>244</v>
      </c>
      <c r="H60" s="119">
        <f t="shared" si="3"/>
        <v>4522.3</v>
      </c>
      <c r="I60" s="62">
        <f t="shared" si="1"/>
        <v>94</v>
      </c>
      <c r="J60" s="62">
        <f t="shared" si="2"/>
        <v>95</v>
      </c>
    </row>
    <row r="61" spans="1:10" s="18" customFormat="1" ht="35.25" customHeight="1">
      <c r="A61" s="27" t="s">
        <v>140</v>
      </c>
      <c r="B61" s="38"/>
      <c r="C61" s="28" t="s">
        <v>33</v>
      </c>
      <c r="D61" s="116">
        <f>'РОСПИСЬ на 30092016'!D61/12*9</f>
        <v>2093.1</v>
      </c>
      <c r="E61" s="120">
        <v>667.1</v>
      </c>
      <c r="F61" s="120">
        <v>667.1</v>
      </c>
      <c r="G61" s="120">
        <v>0</v>
      </c>
      <c r="H61" s="119">
        <f t="shared" si="3"/>
        <v>667.1</v>
      </c>
      <c r="I61" s="35">
        <f t="shared" si="1"/>
        <v>32</v>
      </c>
      <c r="J61" s="35">
        <f t="shared" si="2"/>
        <v>100</v>
      </c>
    </row>
    <row r="62" spans="1:10" s="18" customFormat="1" ht="112.5" customHeight="1">
      <c r="A62" s="27" t="s">
        <v>141</v>
      </c>
      <c r="B62" s="27"/>
      <c r="C62" s="28" t="s">
        <v>16</v>
      </c>
      <c r="D62" s="116">
        <f>'РОСПИСЬ на 30092016'!D62/12*9</f>
        <v>2668.8</v>
      </c>
      <c r="E62" s="120">
        <v>2222.4</v>
      </c>
      <c r="F62" s="120">
        <v>2222.4</v>
      </c>
      <c r="G62" s="120">
        <v>392</v>
      </c>
      <c r="H62" s="119">
        <f t="shared" si="3"/>
        <v>2614.4</v>
      </c>
      <c r="I62" s="35">
        <f t="shared" si="1"/>
        <v>83</v>
      </c>
      <c r="J62" s="35">
        <f t="shared" si="2"/>
        <v>85</v>
      </c>
    </row>
    <row r="63" spans="1:10" s="24" customFormat="1" ht="78.75">
      <c r="A63" s="27" t="s">
        <v>142</v>
      </c>
      <c r="B63" s="27"/>
      <c r="C63" s="28" t="s">
        <v>22</v>
      </c>
      <c r="D63" s="116">
        <f>'РОСПИСЬ на 30092016'!D63</f>
        <v>12257.6</v>
      </c>
      <c r="E63" s="129">
        <v>12005.9</v>
      </c>
      <c r="F63" s="129">
        <v>12005.9</v>
      </c>
      <c r="G63" s="123">
        <v>0</v>
      </c>
      <c r="H63" s="119">
        <f t="shared" si="3"/>
        <v>12005.9</v>
      </c>
      <c r="I63" s="35">
        <v>100</v>
      </c>
      <c r="J63" s="35">
        <f t="shared" si="2"/>
        <v>100</v>
      </c>
    </row>
    <row r="64" spans="1:10" s="24" customFormat="1" ht="48.75" customHeight="1">
      <c r="A64" s="27" t="s">
        <v>143</v>
      </c>
      <c r="B64" s="27"/>
      <c r="C64" s="28" t="s">
        <v>15</v>
      </c>
      <c r="D64" s="116">
        <f>'РОСПИСЬ на 30092016'!D64/12*9</f>
        <v>130247.2</v>
      </c>
      <c r="E64" s="129">
        <v>114893.9</v>
      </c>
      <c r="F64" s="129">
        <v>114893.9</v>
      </c>
      <c r="G64" s="123">
        <v>16116.2</v>
      </c>
      <c r="H64" s="119">
        <f t="shared" si="3"/>
        <v>131010.1</v>
      </c>
      <c r="I64" s="35">
        <f t="shared" si="1"/>
        <v>88</v>
      </c>
      <c r="J64" s="35">
        <f t="shared" si="2"/>
        <v>88</v>
      </c>
    </row>
    <row r="65" spans="1:10" s="18" customFormat="1" ht="81" customHeight="1">
      <c r="A65" s="27" t="s">
        <v>144</v>
      </c>
      <c r="B65" s="60"/>
      <c r="C65" s="52" t="s">
        <v>100</v>
      </c>
      <c r="D65" s="116">
        <v>300</v>
      </c>
      <c r="E65" s="120">
        <v>300</v>
      </c>
      <c r="F65" s="120">
        <v>300</v>
      </c>
      <c r="G65" s="119">
        <v>0</v>
      </c>
      <c r="H65" s="119">
        <f t="shared" si="3"/>
        <v>300</v>
      </c>
      <c r="I65" s="35">
        <f t="shared" si="1"/>
        <v>100</v>
      </c>
      <c r="J65" s="35">
        <f t="shared" si="2"/>
        <v>100</v>
      </c>
    </row>
    <row r="66" spans="1:10" s="18" customFormat="1" ht="31.5">
      <c r="A66" s="27" t="s">
        <v>145</v>
      </c>
      <c r="B66" s="27"/>
      <c r="C66" s="28" t="s">
        <v>101</v>
      </c>
      <c r="D66" s="116">
        <f>'РОСПИСЬ на 30092016'!D66/12*9</f>
        <v>32362.5</v>
      </c>
      <c r="E66" s="120">
        <v>29301.6</v>
      </c>
      <c r="F66" s="120">
        <v>29301.6</v>
      </c>
      <c r="G66" s="123">
        <v>0</v>
      </c>
      <c r="H66" s="119">
        <f>G66+E66</f>
        <v>29301.6</v>
      </c>
      <c r="I66" s="35">
        <f t="shared" si="1"/>
        <v>91</v>
      </c>
      <c r="J66" s="35">
        <f t="shared" si="2"/>
        <v>100</v>
      </c>
    </row>
    <row r="67" spans="1:10" s="24" customFormat="1" ht="47.25">
      <c r="A67" s="38" t="s">
        <v>146</v>
      </c>
      <c r="B67" s="38" t="s">
        <v>29</v>
      </c>
      <c r="C67" s="42" t="s">
        <v>23</v>
      </c>
      <c r="D67" s="99">
        <f>D68+D71</f>
        <v>243924.5</v>
      </c>
      <c r="E67" s="99">
        <f>E68+E71</f>
        <v>240769.3</v>
      </c>
      <c r="F67" s="99">
        <f>F68+F71</f>
        <v>240769.3</v>
      </c>
      <c r="G67" s="99">
        <f>G68+G71</f>
        <v>25647.6</v>
      </c>
      <c r="H67" s="99">
        <f>H68+H71</f>
        <v>266416.9</v>
      </c>
      <c r="I67" s="151">
        <f t="shared" si="1"/>
        <v>99</v>
      </c>
      <c r="J67" s="151">
        <f t="shared" si="2"/>
        <v>90</v>
      </c>
    </row>
    <row r="68" spans="1:10" ht="31.5">
      <c r="A68" s="136" t="s">
        <v>147</v>
      </c>
      <c r="B68" s="137"/>
      <c r="C68" s="138" t="s">
        <v>18</v>
      </c>
      <c r="D68" s="150">
        <f>D69+D70</f>
        <v>231933.6</v>
      </c>
      <c r="E68" s="150">
        <f>E69+E70</f>
        <v>228835.2</v>
      </c>
      <c r="F68" s="150">
        <f>F69+F70</f>
        <v>228835.2</v>
      </c>
      <c r="G68" s="150">
        <f>G69+G70</f>
        <v>25647.6</v>
      </c>
      <c r="H68" s="150">
        <f>H69+H70</f>
        <v>254482.8</v>
      </c>
      <c r="I68" s="35">
        <f t="shared" si="1"/>
        <v>99</v>
      </c>
      <c r="J68" s="35">
        <f t="shared" si="2"/>
        <v>90</v>
      </c>
    </row>
    <row r="69" spans="1:10" ht="31.5">
      <c r="A69" s="23"/>
      <c r="B69" s="19" t="s">
        <v>45</v>
      </c>
      <c r="C69" s="22" t="s">
        <v>116</v>
      </c>
      <c r="D69" s="116">
        <f>'РОСПИСЬ на 30092016'!D69/12*10</f>
        <v>137345.3</v>
      </c>
      <c r="E69" s="149">
        <f>135077.7+1350.1+591</f>
        <v>137018.8</v>
      </c>
      <c r="F69" s="149">
        <f>135077.7+1350.1+591</f>
        <v>137018.8</v>
      </c>
      <c r="G69" s="116">
        <v>15489.7</v>
      </c>
      <c r="H69" s="119">
        <f>G69+E69</f>
        <v>152508.5</v>
      </c>
      <c r="I69" s="35">
        <f t="shared" si="1"/>
        <v>100</v>
      </c>
      <c r="J69" s="35">
        <f t="shared" si="2"/>
        <v>90</v>
      </c>
    </row>
    <row r="70" spans="1:10" ht="31.5">
      <c r="A70" s="21"/>
      <c r="B70" s="19" t="s">
        <v>50</v>
      </c>
      <c r="C70" s="22" t="s">
        <v>34</v>
      </c>
      <c r="D70" s="116">
        <f>'РОСПИСЬ на 30092016'!D70/12*10</f>
        <v>94588.3</v>
      </c>
      <c r="E70" s="149">
        <f>90468.1+1015.2+333.1</f>
        <v>91816.4</v>
      </c>
      <c r="F70" s="149">
        <f>90468.1+1015.2+333.1</f>
        <v>91816.4</v>
      </c>
      <c r="G70" s="116">
        <v>10157.9</v>
      </c>
      <c r="H70" s="119">
        <f>G70+E70</f>
        <v>101974.3</v>
      </c>
      <c r="I70" s="35">
        <f t="shared" si="1"/>
        <v>97</v>
      </c>
      <c r="J70" s="35">
        <f t="shared" si="2"/>
        <v>90</v>
      </c>
    </row>
    <row r="71" spans="1:10" ht="47.25">
      <c r="A71" s="23" t="s">
        <v>148</v>
      </c>
      <c r="B71" s="19"/>
      <c r="C71" s="3" t="s">
        <v>24</v>
      </c>
      <c r="D71" s="116">
        <f>'РОСПИСЬ на 30092016'!D71/12*9.5</f>
        <v>11990.9</v>
      </c>
      <c r="E71" s="120">
        <v>11934.1</v>
      </c>
      <c r="F71" s="120">
        <v>11934.1</v>
      </c>
      <c r="G71" s="119">
        <v>0</v>
      </c>
      <c r="H71" s="119">
        <f>G71+E71</f>
        <v>11934.1</v>
      </c>
      <c r="I71" s="35">
        <f t="shared" si="1"/>
        <v>100</v>
      </c>
      <c r="J71" s="35">
        <f t="shared" si="2"/>
        <v>100</v>
      </c>
    </row>
    <row r="72" spans="1:10" ht="47.25">
      <c r="A72" s="23" t="s">
        <v>149</v>
      </c>
      <c r="B72" s="23" t="s">
        <v>2</v>
      </c>
      <c r="C72" s="3" t="s">
        <v>67</v>
      </c>
      <c r="D72" s="116">
        <f>'РОСПИСЬ на 30092016'!D72/12*9</f>
        <v>618918.2</v>
      </c>
      <c r="E72" s="120">
        <v>602752.2</v>
      </c>
      <c r="F72" s="120">
        <v>602752.2</v>
      </c>
      <c r="G72" s="119">
        <v>0</v>
      </c>
      <c r="H72" s="119">
        <f>G72+E72</f>
        <v>602752.2</v>
      </c>
      <c r="I72" s="35">
        <f t="shared" si="1"/>
        <v>97</v>
      </c>
      <c r="J72" s="35">
        <f t="shared" si="2"/>
        <v>100</v>
      </c>
    </row>
    <row r="73" spans="1:10" ht="94.5">
      <c r="A73" s="23" t="s">
        <v>150</v>
      </c>
      <c r="B73" s="23"/>
      <c r="C73" s="3" t="s">
        <v>25</v>
      </c>
      <c r="D73" s="116">
        <f>'РОСПИСЬ на 30092016'!D73/12*9</f>
        <v>22.8</v>
      </c>
      <c r="E73" s="120">
        <v>21.3</v>
      </c>
      <c r="F73" s="120">
        <v>21.3</v>
      </c>
      <c r="G73" s="119">
        <v>0</v>
      </c>
      <c r="H73" s="119">
        <f t="shared" si="3"/>
        <v>21.3</v>
      </c>
      <c r="I73" s="35">
        <f t="shared" si="1"/>
        <v>93</v>
      </c>
      <c r="J73" s="35">
        <f t="shared" si="2"/>
        <v>100</v>
      </c>
    </row>
    <row r="74" spans="1:10" s="24" customFormat="1" ht="94.5">
      <c r="A74" s="23" t="s">
        <v>151</v>
      </c>
      <c r="B74" s="23" t="s">
        <v>42</v>
      </c>
      <c r="C74" s="3" t="s">
        <v>26</v>
      </c>
      <c r="D74" s="116">
        <f>'РОСПИСЬ на 30092016'!D74</f>
        <v>15.2</v>
      </c>
      <c r="E74" s="120">
        <v>13.9</v>
      </c>
      <c r="F74" s="120">
        <v>13.9</v>
      </c>
      <c r="G74" s="123">
        <v>0</v>
      </c>
      <c r="H74" s="119">
        <f t="shared" si="3"/>
        <v>13.9</v>
      </c>
      <c r="I74" s="35">
        <f>E74*100/D74</f>
        <v>91</v>
      </c>
      <c r="J74" s="35">
        <f t="shared" si="2"/>
        <v>100</v>
      </c>
    </row>
    <row r="75" spans="1:10" ht="173.25">
      <c r="A75" s="27" t="s">
        <v>152</v>
      </c>
      <c r="B75" s="27" t="s">
        <v>45</v>
      </c>
      <c r="C75" s="28" t="s">
        <v>39</v>
      </c>
      <c r="D75" s="126">
        <f>'РОСПИСЬ на 30092016'!D75/12*10.1</f>
        <v>329149.4</v>
      </c>
      <c r="E75" s="121">
        <v>326417.2</v>
      </c>
      <c r="F75" s="121">
        <v>326417.2</v>
      </c>
      <c r="G75" s="115">
        <v>0</v>
      </c>
      <c r="H75" s="124">
        <f t="shared" si="3"/>
        <v>326417.2</v>
      </c>
      <c r="I75" s="62">
        <f>E75*100/D75</f>
        <v>99</v>
      </c>
      <c r="J75" s="62">
        <f t="shared" si="2"/>
        <v>100</v>
      </c>
    </row>
    <row r="76" spans="1:10" ht="78.75">
      <c r="A76" s="142" t="s">
        <v>153</v>
      </c>
      <c r="B76" s="137"/>
      <c r="C76" s="143" t="s">
        <v>35</v>
      </c>
      <c r="D76" s="113">
        <f>D77+D78</f>
        <v>288308.8</v>
      </c>
      <c r="E76" s="113">
        <f>E77+E78</f>
        <v>283650.7</v>
      </c>
      <c r="F76" s="113">
        <f>F77+F78</f>
        <v>283650.7</v>
      </c>
      <c r="G76" s="113">
        <f>G77+G78</f>
        <v>32295.8</v>
      </c>
      <c r="H76" s="113">
        <f>H77+H78</f>
        <v>315946.5</v>
      </c>
      <c r="I76" s="62">
        <f>E76*100/D76</f>
        <v>98</v>
      </c>
      <c r="J76" s="62">
        <f t="shared" si="2"/>
        <v>90</v>
      </c>
    </row>
    <row r="77" spans="1:10" ht="31.5">
      <c r="A77" s="19"/>
      <c r="B77" s="19" t="s">
        <v>45</v>
      </c>
      <c r="C77" s="20" t="s">
        <v>115</v>
      </c>
      <c r="D77" s="116">
        <f>'РОСПИСЬ на 30092016'!D77/12*10</f>
        <v>198075.8</v>
      </c>
      <c r="E77" s="152">
        <f>193728.2+2338.7+619.6</f>
        <v>196686.5</v>
      </c>
      <c r="F77" s="152">
        <f>193728.2+2338.7+619.6</f>
        <v>196686.5</v>
      </c>
      <c r="G77" s="127">
        <v>22652.5</v>
      </c>
      <c r="H77" s="119">
        <f t="shared" si="3"/>
        <v>219339</v>
      </c>
      <c r="I77" s="35">
        <f aca="true" t="shared" si="4" ref="I77:I105">E77*100/D77</f>
        <v>99</v>
      </c>
      <c r="J77" s="35">
        <f t="shared" si="2"/>
        <v>90</v>
      </c>
    </row>
    <row r="78" spans="1:10" ht="36" customHeight="1">
      <c r="A78" s="19"/>
      <c r="B78" s="19" t="s">
        <v>50</v>
      </c>
      <c r="C78" s="20" t="s">
        <v>36</v>
      </c>
      <c r="D78" s="116">
        <f>'РОСПИСЬ на 30092016'!D78/12*10</f>
        <v>90233</v>
      </c>
      <c r="E78" s="153">
        <f>85656.5+1033.9+273.8</f>
        <v>86964.2</v>
      </c>
      <c r="F78" s="153">
        <f>85656.5+1033.9+273.8</f>
        <v>86964.2</v>
      </c>
      <c r="G78" s="117">
        <v>9643.3</v>
      </c>
      <c r="H78" s="119">
        <f t="shared" si="3"/>
        <v>96607.5</v>
      </c>
      <c r="I78" s="35">
        <f t="shared" si="4"/>
        <v>96</v>
      </c>
      <c r="J78" s="35">
        <f aca="true" t="shared" si="5" ref="J78:J85">E78*100/H78</f>
        <v>90</v>
      </c>
    </row>
    <row r="79" spans="1:10" ht="63">
      <c r="A79" s="23" t="s">
        <v>154</v>
      </c>
      <c r="B79" s="23" t="s">
        <v>42</v>
      </c>
      <c r="C79" s="3" t="s">
        <v>27</v>
      </c>
      <c r="D79" s="116">
        <f>'РОСПИСЬ на 30092016'!D79/12*9</f>
        <v>135122</v>
      </c>
      <c r="E79" s="130">
        <v>133071.5</v>
      </c>
      <c r="F79" s="130">
        <v>133071.5</v>
      </c>
      <c r="G79" s="116">
        <v>20198.3</v>
      </c>
      <c r="H79" s="119">
        <f t="shared" si="3"/>
        <v>153269.8</v>
      </c>
      <c r="I79" s="35">
        <f t="shared" si="4"/>
        <v>98</v>
      </c>
      <c r="J79" s="35">
        <f t="shared" si="5"/>
        <v>87</v>
      </c>
    </row>
    <row r="80" spans="1:10" ht="63">
      <c r="A80" s="23" t="s">
        <v>155</v>
      </c>
      <c r="B80" s="23" t="s">
        <v>45</v>
      </c>
      <c r="C80" s="3" t="s">
        <v>37</v>
      </c>
      <c r="D80" s="116">
        <f>'РОСПИСЬ на 30092016'!D80/12*9</f>
        <v>133340.6</v>
      </c>
      <c r="E80" s="120">
        <v>119197.3</v>
      </c>
      <c r="F80" s="120">
        <v>119197.3</v>
      </c>
      <c r="G80" s="123">
        <v>34522.8</v>
      </c>
      <c r="H80" s="119">
        <f t="shared" si="3"/>
        <v>153720.1</v>
      </c>
      <c r="I80" s="35">
        <f t="shared" si="4"/>
        <v>89</v>
      </c>
      <c r="J80" s="35">
        <f t="shared" si="5"/>
        <v>78</v>
      </c>
    </row>
    <row r="81" spans="1:10" ht="47.25">
      <c r="A81" s="16" t="s">
        <v>156</v>
      </c>
      <c r="B81" s="16" t="s">
        <v>45</v>
      </c>
      <c r="C81" s="17" t="s">
        <v>66</v>
      </c>
      <c r="D81" s="116">
        <f>'РОСПИСЬ на 30092016'!D81/12*9</f>
        <v>1721.6</v>
      </c>
      <c r="E81" s="117">
        <v>787.5</v>
      </c>
      <c r="F81" s="117">
        <v>787.5</v>
      </c>
      <c r="G81" s="119">
        <v>0</v>
      </c>
      <c r="H81" s="119">
        <f>G81+E81</f>
        <v>787.5</v>
      </c>
      <c r="I81" s="35">
        <f t="shared" si="4"/>
        <v>46</v>
      </c>
      <c r="J81" s="35">
        <f t="shared" si="5"/>
        <v>100</v>
      </c>
    </row>
    <row r="82" spans="1:10" ht="31.5">
      <c r="A82" s="23" t="s">
        <v>157</v>
      </c>
      <c r="B82" s="16"/>
      <c r="C82" s="3" t="s">
        <v>49</v>
      </c>
      <c r="D82" s="96">
        <f>D83+D84</f>
        <v>102310.9</v>
      </c>
      <c r="E82" s="96">
        <f>E83+E84</f>
        <v>79503.4</v>
      </c>
      <c r="F82" s="96">
        <f>F83+F84</f>
        <v>79503.4</v>
      </c>
      <c r="G82" s="96">
        <f>G83+G84</f>
        <v>5420.6</v>
      </c>
      <c r="H82" s="96">
        <f>H83+H84</f>
        <v>84924</v>
      </c>
      <c r="I82" s="35">
        <f t="shared" si="4"/>
        <v>78</v>
      </c>
      <c r="J82" s="35">
        <f t="shared" si="5"/>
        <v>94</v>
      </c>
    </row>
    <row r="83" spans="1:10" ht="47.25">
      <c r="A83" s="19"/>
      <c r="B83" s="19" t="s">
        <v>50</v>
      </c>
      <c r="C83" s="20" t="s">
        <v>38</v>
      </c>
      <c r="D83" s="116">
        <f>'РОСПИСЬ на 30092016'!D83/12*9</f>
        <v>31648.1</v>
      </c>
      <c r="E83" s="153">
        <f>9238.4+122.5+23.4</f>
        <v>9384.3</v>
      </c>
      <c r="F83" s="153">
        <f>9238.4+122.5+23.4</f>
        <v>9384.3</v>
      </c>
      <c r="G83" s="119">
        <v>1152.8</v>
      </c>
      <c r="H83" s="119">
        <f>G83+E83</f>
        <v>10537.1</v>
      </c>
      <c r="I83" s="35">
        <f t="shared" si="4"/>
        <v>30</v>
      </c>
      <c r="J83" s="35">
        <f t="shared" si="5"/>
        <v>89</v>
      </c>
    </row>
    <row r="84" spans="1:10" ht="51.75" customHeight="1">
      <c r="A84" s="23"/>
      <c r="B84" s="19" t="s">
        <v>45</v>
      </c>
      <c r="C84" s="20" t="s">
        <v>48</v>
      </c>
      <c r="D84" s="116">
        <f>'РОСПИСЬ на 30092016'!D84</f>
        <v>70662.8</v>
      </c>
      <c r="E84" s="153">
        <f>69088.9+776.7+253.5</f>
        <v>70119.1</v>
      </c>
      <c r="F84" s="153">
        <f>69088.9+776.7+253.5</f>
        <v>70119.1</v>
      </c>
      <c r="G84" s="119">
        <f>4265+2.8</f>
        <v>4267.8</v>
      </c>
      <c r="H84" s="119">
        <f>G84+E84</f>
        <v>74386.9</v>
      </c>
      <c r="I84" s="35">
        <f t="shared" si="4"/>
        <v>99</v>
      </c>
      <c r="J84" s="35">
        <f t="shared" si="5"/>
        <v>94</v>
      </c>
    </row>
    <row r="85" spans="1:10" s="18" customFormat="1" ht="47.25">
      <c r="A85" s="23" t="s">
        <v>158</v>
      </c>
      <c r="B85" s="16"/>
      <c r="C85" s="3" t="s">
        <v>102</v>
      </c>
      <c r="D85" s="116">
        <f>'РОСПИСЬ на 30092016'!D85/12*9</f>
        <v>14350.9</v>
      </c>
      <c r="E85" s="120">
        <v>13409</v>
      </c>
      <c r="F85" s="120">
        <v>13409</v>
      </c>
      <c r="G85" s="123">
        <v>0</v>
      </c>
      <c r="H85" s="119">
        <f>G85+E85</f>
        <v>13409</v>
      </c>
      <c r="I85" s="35">
        <f t="shared" si="4"/>
        <v>93</v>
      </c>
      <c r="J85" s="35">
        <f t="shared" si="5"/>
        <v>100</v>
      </c>
    </row>
    <row r="86" spans="1:10" ht="47.25">
      <c r="A86" s="19" t="s">
        <v>159</v>
      </c>
      <c r="B86" s="19" t="s">
        <v>41</v>
      </c>
      <c r="C86" s="61" t="s">
        <v>91</v>
      </c>
      <c r="D86" s="116">
        <f>'РОСПИСЬ на 30092016'!D86/12*9</f>
        <v>277.5</v>
      </c>
      <c r="E86" s="120">
        <v>0</v>
      </c>
      <c r="F86" s="120">
        <v>0</v>
      </c>
      <c r="G86" s="119">
        <v>0</v>
      </c>
      <c r="H86" s="119">
        <f>G86+E86</f>
        <v>0</v>
      </c>
      <c r="I86" s="35">
        <f t="shared" si="4"/>
        <v>0</v>
      </c>
      <c r="J86" s="35">
        <v>0</v>
      </c>
    </row>
    <row r="87" spans="1:10" ht="31.5">
      <c r="A87" s="27" t="s">
        <v>196</v>
      </c>
      <c r="B87" s="44" t="s">
        <v>42</v>
      </c>
      <c r="C87" s="45" t="s">
        <v>195</v>
      </c>
      <c r="D87" s="126">
        <f>'РОСПИСЬ на 30092016'!D87</f>
        <v>5690</v>
      </c>
      <c r="E87" s="120">
        <v>5390</v>
      </c>
      <c r="F87" s="120">
        <v>5390</v>
      </c>
      <c r="G87" s="123">
        <v>0</v>
      </c>
      <c r="H87" s="119">
        <f>G87+E87</f>
        <v>5390</v>
      </c>
      <c r="I87" s="35">
        <f t="shared" si="4"/>
        <v>95</v>
      </c>
      <c r="J87" s="35">
        <f>E87*100/H87</f>
        <v>100</v>
      </c>
    </row>
    <row r="88" spans="1:10" ht="47.25">
      <c r="A88" s="19"/>
      <c r="B88" s="19"/>
      <c r="C88" s="17" t="s">
        <v>103</v>
      </c>
      <c r="D88" s="96">
        <f>D89+D90+D91</f>
        <v>15069.1</v>
      </c>
      <c r="E88" s="96">
        <f>E89+E90+E91</f>
        <v>14241.6</v>
      </c>
      <c r="F88" s="96">
        <f>F89+F90+F91</f>
        <v>14241.6</v>
      </c>
      <c r="G88" s="96">
        <f>G89+G90+G91</f>
        <v>0</v>
      </c>
      <c r="H88" s="96">
        <f>H89+H90+H91</f>
        <v>14241.6</v>
      </c>
      <c r="I88" s="35">
        <f t="shared" si="4"/>
        <v>95</v>
      </c>
      <c r="J88" s="35">
        <f>E88*100/H88</f>
        <v>100</v>
      </c>
    </row>
    <row r="89" spans="1:10" ht="31.5">
      <c r="A89" s="19" t="s">
        <v>161</v>
      </c>
      <c r="B89" s="19" t="s">
        <v>42</v>
      </c>
      <c r="C89" s="20" t="s">
        <v>40</v>
      </c>
      <c r="D89" s="116">
        <f>'РОСПИСЬ на 30092016'!D89/12*9</f>
        <v>6000</v>
      </c>
      <c r="E89" s="120">
        <v>5464.7</v>
      </c>
      <c r="F89" s="120">
        <v>5464.7</v>
      </c>
      <c r="G89" s="123">
        <v>0</v>
      </c>
      <c r="H89" s="119">
        <f>G89+E89</f>
        <v>5464.7</v>
      </c>
      <c r="I89" s="35">
        <f t="shared" si="4"/>
        <v>91</v>
      </c>
      <c r="J89" s="35">
        <f>E89*100/H89</f>
        <v>100</v>
      </c>
    </row>
    <row r="90" spans="1:10" ht="15.75">
      <c r="A90" s="19" t="s">
        <v>162</v>
      </c>
      <c r="B90" s="19" t="s">
        <v>41</v>
      </c>
      <c r="C90" s="20" t="s">
        <v>43</v>
      </c>
      <c r="D90" s="116">
        <f>'РОСПИСЬ на 30092016'!D90/12*9</f>
        <v>37.6</v>
      </c>
      <c r="E90" s="123">
        <v>0</v>
      </c>
      <c r="F90" s="123">
        <v>0</v>
      </c>
      <c r="G90" s="123">
        <v>0</v>
      </c>
      <c r="H90" s="119">
        <f>G90+E90</f>
        <v>0</v>
      </c>
      <c r="I90" s="35">
        <f t="shared" si="4"/>
        <v>0</v>
      </c>
      <c r="J90" s="35">
        <v>0</v>
      </c>
    </row>
    <row r="91" spans="1:10" ht="47.25">
      <c r="A91" s="23" t="s">
        <v>163</v>
      </c>
      <c r="B91" s="16"/>
      <c r="C91" s="17" t="s">
        <v>59</v>
      </c>
      <c r="D91" s="99">
        <f>D92+D93+D94</f>
        <v>9031.5</v>
      </c>
      <c r="E91" s="99">
        <f>E92+E93+E94</f>
        <v>8776.9</v>
      </c>
      <c r="F91" s="99">
        <f>F92+F93+F94</f>
        <v>8776.9</v>
      </c>
      <c r="G91" s="99">
        <f>G92+G93+G94</f>
        <v>0</v>
      </c>
      <c r="H91" s="99">
        <f>H92+H93+H94</f>
        <v>8776.9</v>
      </c>
      <c r="I91" s="35">
        <f t="shared" si="4"/>
        <v>97</v>
      </c>
      <c r="J91" s="35">
        <f aca="true" t="shared" si="6" ref="J91:J96">E91*100/H91</f>
        <v>100</v>
      </c>
    </row>
    <row r="92" spans="1:10" ht="78.75">
      <c r="A92" s="19" t="s">
        <v>164</v>
      </c>
      <c r="B92" s="19" t="s">
        <v>42</v>
      </c>
      <c r="C92" s="20" t="s">
        <v>104</v>
      </c>
      <c r="D92" s="116">
        <v>6600</v>
      </c>
      <c r="E92" s="125">
        <v>6600</v>
      </c>
      <c r="F92" s="125">
        <v>6600</v>
      </c>
      <c r="G92" s="119">
        <v>0</v>
      </c>
      <c r="H92" s="119">
        <f>G92+E92</f>
        <v>6600</v>
      </c>
      <c r="I92" s="35">
        <f t="shared" si="4"/>
        <v>100</v>
      </c>
      <c r="J92" s="35">
        <f t="shared" si="6"/>
        <v>100</v>
      </c>
    </row>
    <row r="93" spans="1:10" ht="15.75">
      <c r="A93" s="19" t="s">
        <v>165</v>
      </c>
      <c r="B93" s="19" t="s">
        <v>31</v>
      </c>
      <c r="C93" s="20" t="s">
        <v>76</v>
      </c>
      <c r="D93" s="116">
        <f>'РОСПИСЬ на 30092016'!D93/12*9</f>
        <v>106.5</v>
      </c>
      <c r="E93" s="123">
        <v>116.8</v>
      </c>
      <c r="F93" s="123">
        <v>116.8</v>
      </c>
      <c r="G93" s="123">
        <f>G94+G95+G96</f>
        <v>0</v>
      </c>
      <c r="H93" s="119">
        <f>G93+E93</f>
        <v>116.8</v>
      </c>
      <c r="I93" s="35">
        <f t="shared" si="4"/>
        <v>110</v>
      </c>
      <c r="J93" s="35">
        <f t="shared" si="6"/>
        <v>100</v>
      </c>
    </row>
    <row r="94" spans="1:10" ht="63">
      <c r="A94" s="19" t="s">
        <v>166</v>
      </c>
      <c r="B94" s="19" t="s">
        <v>42</v>
      </c>
      <c r="C94" s="37" t="s">
        <v>99</v>
      </c>
      <c r="D94" s="116">
        <f>'РОСПИСЬ на 30092016'!D94/12*9</f>
        <v>2325</v>
      </c>
      <c r="E94" s="125">
        <v>2060.1</v>
      </c>
      <c r="F94" s="125">
        <v>2060.1</v>
      </c>
      <c r="G94" s="119">
        <v>0</v>
      </c>
      <c r="H94" s="119">
        <f aca="true" t="shared" si="7" ref="H94:H121">G94+E94</f>
        <v>2060.1</v>
      </c>
      <c r="I94" s="35">
        <f t="shared" si="4"/>
        <v>89</v>
      </c>
      <c r="J94" s="35">
        <f t="shared" si="6"/>
        <v>100</v>
      </c>
    </row>
    <row r="95" spans="1:10" ht="63">
      <c r="A95" s="16"/>
      <c r="B95" s="16"/>
      <c r="C95" s="17" t="s">
        <v>105</v>
      </c>
      <c r="D95" s="96">
        <f>D96+D97+D98+D99</f>
        <v>29983.5</v>
      </c>
      <c r="E95" s="96">
        <f>E96+E97+E98+E99</f>
        <v>26874.6</v>
      </c>
      <c r="F95" s="96">
        <f>F96+F97+F98+F99</f>
        <v>26874.6</v>
      </c>
      <c r="G95" s="96">
        <f>G96+G97+G98+G99</f>
        <v>0</v>
      </c>
      <c r="H95" s="124">
        <f t="shared" si="7"/>
        <v>26874.6</v>
      </c>
      <c r="I95" s="35">
        <f t="shared" si="4"/>
        <v>90</v>
      </c>
      <c r="J95" s="35">
        <f t="shared" si="6"/>
        <v>100</v>
      </c>
    </row>
    <row r="96" spans="1:10" ht="78.75">
      <c r="A96" s="19" t="s">
        <v>167</v>
      </c>
      <c r="B96" s="19" t="s">
        <v>42</v>
      </c>
      <c r="C96" s="20" t="s">
        <v>32</v>
      </c>
      <c r="D96" s="116">
        <v>17125</v>
      </c>
      <c r="E96" s="125">
        <v>17125</v>
      </c>
      <c r="F96" s="125">
        <v>17125</v>
      </c>
      <c r="G96" s="119">
        <v>0</v>
      </c>
      <c r="H96" s="119">
        <f t="shared" si="7"/>
        <v>17125</v>
      </c>
      <c r="I96" s="35">
        <f t="shared" si="4"/>
        <v>100</v>
      </c>
      <c r="J96" s="35">
        <f t="shared" si="6"/>
        <v>100</v>
      </c>
    </row>
    <row r="97" spans="1:10" ht="94.5">
      <c r="A97" s="19" t="s">
        <v>167</v>
      </c>
      <c r="B97" s="19" t="s">
        <v>42</v>
      </c>
      <c r="C97" s="20" t="s">
        <v>60</v>
      </c>
      <c r="D97" s="116">
        <f>'РОСПИСЬ на 30092016'!D97/12*9</f>
        <v>1438.5</v>
      </c>
      <c r="E97" s="123">
        <v>0</v>
      </c>
      <c r="F97" s="123">
        <v>0</v>
      </c>
      <c r="G97" s="123">
        <f>G98+G99+G100+G101</f>
        <v>0</v>
      </c>
      <c r="H97" s="119">
        <f t="shared" si="7"/>
        <v>0</v>
      </c>
      <c r="I97" s="35">
        <f t="shared" si="4"/>
        <v>0</v>
      </c>
      <c r="J97" s="35">
        <v>0</v>
      </c>
    </row>
    <row r="98" spans="1:10" ht="15.75">
      <c r="A98" s="19" t="s">
        <v>168</v>
      </c>
      <c r="B98" s="19" t="s">
        <v>47</v>
      </c>
      <c r="C98" s="20" t="s">
        <v>69</v>
      </c>
      <c r="D98" s="116">
        <f>'РОСПИСЬ на 30092016'!D98/12*9</f>
        <v>0</v>
      </c>
      <c r="E98" s="125">
        <v>0</v>
      </c>
      <c r="F98" s="125">
        <v>0</v>
      </c>
      <c r="G98" s="119">
        <v>0</v>
      </c>
      <c r="H98" s="119">
        <f t="shared" si="7"/>
        <v>0</v>
      </c>
      <c r="I98" s="35">
        <v>0</v>
      </c>
      <c r="J98" s="35">
        <v>0</v>
      </c>
    </row>
    <row r="99" spans="1:10" ht="47.25">
      <c r="A99" s="19"/>
      <c r="B99" s="19"/>
      <c r="C99" s="3" t="s">
        <v>113</v>
      </c>
      <c r="D99" s="99">
        <f>D100+D101</f>
        <v>11420</v>
      </c>
      <c r="E99" s="99">
        <f>E100+E101</f>
        <v>9749.6</v>
      </c>
      <c r="F99" s="99">
        <f>F100+F101</f>
        <v>9749.6</v>
      </c>
      <c r="G99" s="99">
        <f>G100+G101</f>
        <v>0</v>
      </c>
      <c r="H99" s="99">
        <f>H100+H101</f>
        <v>9749.6</v>
      </c>
      <c r="I99" s="62">
        <f>E99*100/D99</f>
        <v>85</v>
      </c>
      <c r="J99" s="62">
        <f>E99*100/H99</f>
        <v>100</v>
      </c>
    </row>
    <row r="100" spans="1:10" ht="94.5">
      <c r="A100" s="19" t="s">
        <v>169</v>
      </c>
      <c r="B100" s="19" t="s">
        <v>42</v>
      </c>
      <c r="C100" s="20" t="s">
        <v>65</v>
      </c>
      <c r="D100" s="116">
        <f>'РОСПИСЬ на 30092016'!D100</f>
        <v>11195</v>
      </c>
      <c r="E100" s="125">
        <v>9638</v>
      </c>
      <c r="F100" s="125">
        <v>9638</v>
      </c>
      <c r="G100" s="119">
        <v>0</v>
      </c>
      <c r="H100" s="119">
        <f t="shared" si="7"/>
        <v>9638</v>
      </c>
      <c r="I100" s="35">
        <f t="shared" si="4"/>
        <v>86</v>
      </c>
      <c r="J100" s="35">
        <f>E100*100/H100</f>
        <v>100</v>
      </c>
    </row>
    <row r="101" spans="1:10" ht="15.75">
      <c r="A101" s="19" t="s">
        <v>170</v>
      </c>
      <c r="B101" s="19" t="s">
        <v>41</v>
      </c>
      <c r="C101" s="20" t="s">
        <v>43</v>
      </c>
      <c r="D101" s="116">
        <f>'РОСПИСЬ на 30092016'!D101/12*9</f>
        <v>225</v>
      </c>
      <c r="E101" s="130">
        <v>111.6</v>
      </c>
      <c r="F101" s="130">
        <v>111.6</v>
      </c>
      <c r="G101" s="116">
        <f>G102+G103</f>
        <v>0</v>
      </c>
      <c r="H101" s="119">
        <f t="shared" si="7"/>
        <v>111.6</v>
      </c>
      <c r="I101" s="35">
        <f t="shared" si="4"/>
        <v>50</v>
      </c>
      <c r="J101" s="35">
        <f>E101*100/H101</f>
        <v>100</v>
      </c>
    </row>
    <row r="102" spans="1:10" ht="15.75">
      <c r="A102" s="16" t="s">
        <v>53</v>
      </c>
      <c r="B102" s="47"/>
      <c r="C102" s="15" t="s">
        <v>11</v>
      </c>
      <c r="D102" s="115">
        <f>SUM(D103)</f>
        <v>36.9</v>
      </c>
      <c r="E102" s="115">
        <f>SUM(E103)</f>
        <v>0</v>
      </c>
      <c r="F102" s="115">
        <f>SUM(F103)</f>
        <v>0</v>
      </c>
      <c r="G102" s="115">
        <f>SUM(G103)</f>
        <v>0</v>
      </c>
      <c r="H102" s="115">
        <f>SUM(H103)</f>
        <v>0</v>
      </c>
      <c r="I102" s="35">
        <f t="shared" si="4"/>
        <v>0</v>
      </c>
      <c r="J102" s="35">
        <v>0</v>
      </c>
    </row>
    <row r="103" spans="1:10" ht="94.5">
      <c r="A103" s="19" t="s">
        <v>204</v>
      </c>
      <c r="B103" s="19" t="s">
        <v>54</v>
      </c>
      <c r="C103" s="12" t="s">
        <v>28</v>
      </c>
      <c r="D103" s="116">
        <f>'РОСПИСЬ на 30092016'!D103/12*9</f>
        <v>36.9</v>
      </c>
      <c r="E103" s="130">
        <v>0</v>
      </c>
      <c r="F103" s="130">
        <v>0</v>
      </c>
      <c r="G103" s="116">
        <v>0</v>
      </c>
      <c r="H103" s="119">
        <f>G103+E103</f>
        <v>0</v>
      </c>
      <c r="I103" s="35">
        <f t="shared" si="4"/>
        <v>0</v>
      </c>
      <c r="J103" s="35">
        <v>0</v>
      </c>
    </row>
    <row r="104" spans="1:10" ht="31.5">
      <c r="A104" s="23" t="s">
        <v>12</v>
      </c>
      <c r="B104" s="23"/>
      <c r="C104" s="31" t="s">
        <v>13</v>
      </c>
      <c r="D104" s="96">
        <f>D105+D106+D107+D117+D122+D125</f>
        <v>96161</v>
      </c>
      <c r="E104" s="96">
        <f>E105+E106+E107+E117+E122+E125</f>
        <v>76580.7</v>
      </c>
      <c r="F104" s="96">
        <f>F105+F106+F107+F117+F122+F125</f>
        <v>76580.7</v>
      </c>
      <c r="G104" s="96">
        <f>G105+G106+G107+G117+G122+G125</f>
        <v>2621.7</v>
      </c>
      <c r="H104" s="96">
        <f>H105+H106+H107+H117+H122+H125</f>
        <v>79202.4</v>
      </c>
      <c r="I104" s="62">
        <f t="shared" si="4"/>
        <v>80</v>
      </c>
      <c r="J104" s="62">
        <f>E104*100/H104</f>
        <v>97</v>
      </c>
    </row>
    <row r="105" spans="1:10" ht="126">
      <c r="A105" s="16" t="s">
        <v>172</v>
      </c>
      <c r="B105" s="16"/>
      <c r="C105" s="17" t="s">
        <v>203</v>
      </c>
      <c r="D105" s="116">
        <f>'РОСПИСЬ на 30092016'!D105/12*9</f>
        <v>67584.1</v>
      </c>
      <c r="E105" s="116">
        <v>60140.5</v>
      </c>
      <c r="F105" s="116">
        <v>60140.5</v>
      </c>
      <c r="G105" s="116">
        <v>2621.7</v>
      </c>
      <c r="H105" s="119">
        <f>G105+E105</f>
        <v>62762.2</v>
      </c>
      <c r="I105" s="35">
        <f t="shared" si="4"/>
        <v>89</v>
      </c>
      <c r="J105" s="35">
        <f>E105*100/H105</f>
        <v>96</v>
      </c>
    </row>
    <row r="106" spans="1:10" ht="31.5">
      <c r="A106" s="111" t="s">
        <v>201</v>
      </c>
      <c r="B106" s="112">
        <v>262200</v>
      </c>
      <c r="C106" s="112" t="s">
        <v>202</v>
      </c>
      <c r="D106" s="116">
        <f>'РОСПИСЬ на 30092016'!D106/12*9.1</f>
        <v>15166.7</v>
      </c>
      <c r="E106" s="120">
        <v>15160</v>
      </c>
      <c r="F106" s="120">
        <v>15160</v>
      </c>
      <c r="G106" s="120">
        <v>0</v>
      </c>
      <c r="H106" s="119">
        <f t="shared" si="7"/>
        <v>15160</v>
      </c>
      <c r="I106" s="35">
        <f aca="true" t="shared" si="8" ref="I106:I127">E106*100/D106</f>
        <v>100</v>
      </c>
      <c r="J106" s="35">
        <f>E106*100/H106</f>
        <v>100</v>
      </c>
    </row>
    <row r="107" spans="1:10" ht="63">
      <c r="A107" s="19"/>
      <c r="B107" s="19"/>
      <c r="C107" s="17" t="s">
        <v>117</v>
      </c>
      <c r="D107" s="96">
        <f>SUM(D108:D116)</f>
        <v>7666.5</v>
      </c>
      <c r="E107" s="96">
        <f>SUM(E108:E116)</f>
        <v>1154.2</v>
      </c>
      <c r="F107" s="96">
        <f>SUM(F108:F116)</f>
        <v>1154.2</v>
      </c>
      <c r="G107" s="96">
        <f>SUM(G108:G116)</f>
        <v>0</v>
      </c>
      <c r="H107" s="96">
        <f>SUM(H108:H116)</f>
        <v>1154.2</v>
      </c>
      <c r="I107" s="35">
        <f t="shared" si="8"/>
        <v>15</v>
      </c>
      <c r="J107" s="35">
        <f>E107*100/H107</f>
        <v>100</v>
      </c>
    </row>
    <row r="108" spans="1:10" ht="31.5">
      <c r="A108" s="19" t="s">
        <v>213</v>
      </c>
      <c r="B108" s="19" t="s">
        <v>46</v>
      </c>
      <c r="C108" s="4" t="s">
        <v>61</v>
      </c>
      <c r="D108" s="116">
        <f>'РОСПИСЬ на 30092016'!D108/12*9</f>
        <v>1147.5</v>
      </c>
      <c r="E108" s="130">
        <v>0</v>
      </c>
      <c r="F108" s="130">
        <v>0</v>
      </c>
      <c r="G108" s="116">
        <f>G109+G110</f>
        <v>0</v>
      </c>
      <c r="H108" s="116">
        <f>H109+H110</f>
        <v>0</v>
      </c>
      <c r="I108" s="35">
        <f t="shared" si="8"/>
        <v>0</v>
      </c>
      <c r="J108" s="35">
        <v>0</v>
      </c>
    </row>
    <row r="109" spans="1:10" ht="31.5">
      <c r="A109" s="19" t="s">
        <v>160</v>
      </c>
      <c r="B109" s="19" t="s">
        <v>46</v>
      </c>
      <c r="C109" s="4" t="s">
        <v>61</v>
      </c>
      <c r="D109" s="116">
        <f>'РОСПИСЬ на 30092016'!D109/12*9</f>
        <v>2631.5</v>
      </c>
      <c r="E109" s="116">
        <v>0</v>
      </c>
      <c r="F109" s="116">
        <v>0</v>
      </c>
      <c r="G109" s="116">
        <f>G110+G111</f>
        <v>0</v>
      </c>
      <c r="H109" s="119">
        <f t="shared" si="7"/>
        <v>0</v>
      </c>
      <c r="I109" s="35">
        <f t="shared" si="8"/>
        <v>0</v>
      </c>
      <c r="J109" s="35">
        <v>0</v>
      </c>
    </row>
    <row r="110" spans="1:10" ht="15.75">
      <c r="A110" s="19" t="s">
        <v>160</v>
      </c>
      <c r="B110" s="19" t="s">
        <v>41</v>
      </c>
      <c r="C110" s="20" t="s">
        <v>43</v>
      </c>
      <c r="D110" s="116">
        <f>'РОСПИСЬ на 30092016'!D110/12*9</f>
        <v>213.2</v>
      </c>
      <c r="E110" s="125">
        <v>0</v>
      </c>
      <c r="F110" s="125">
        <v>0</v>
      </c>
      <c r="G110" s="119">
        <v>0</v>
      </c>
      <c r="H110" s="119">
        <f t="shared" si="7"/>
        <v>0</v>
      </c>
      <c r="I110" s="35">
        <f t="shared" si="8"/>
        <v>0</v>
      </c>
      <c r="J110" s="35">
        <v>0</v>
      </c>
    </row>
    <row r="111" spans="1:10" ht="94.5">
      <c r="A111" s="19" t="s">
        <v>160</v>
      </c>
      <c r="B111" s="19" t="s">
        <v>214</v>
      </c>
      <c r="C111" s="135" t="s">
        <v>220</v>
      </c>
      <c r="D111" s="116">
        <f>'РОСПИСЬ на 30092016'!D111/12*9</f>
        <v>74.6</v>
      </c>
      <c r="E111" s="119">
        <v>0</v>
      </c>
      <c r="F111" s="119">
        <v>0</v>
      </c>
      <c r="G111" s="119">
        <v>0</v>
      </c>
      <c r="H111" s="119">
        <f t="shared" si="7"/>
        <v>0</v>
      </c>
      <c r="I111" s="35">
        <f t="shared" si="8"/>
        <v>0</v>
      </c>
      <c r="J111" s="35">
        <v>0</v>
      </c>
    </row>
    <row r="112" spans="1:10" ht="31.5">
      <c r="A112" s="19" t="s">
        <v>160</v>
      </c>
      <c r="B112" s="19" t="s">
        <v>47</v>
      </c>
      <c r="C112" s="135" t="s">
        <v>55</v>
      </c>
      <c r="D112" s="116">
        <f>'РОСПИСЬ на 30092016'!D112/12*9</f>
        <v>1800</v>
      </c>
      <c r="E112" s="119">
        <v>0</v>
      </c>
      <c r="F112" s="119">
        <v>0</v>
      </c>
      <c r="G112" s="119">
        <v>0</v>
      </c>
      <c r="H112" s="119">
        <f t="shared" si="7"/>
        <v>0</v>
      </c>
      <c r="I112" s="35">
        <f t="shared" si="8"/>
        <v>0</v>
      </c>
      <c r="J112" s="35">
        <v>0</v>
      </c>
    </row>
    <row r="113" spans="1:10" ht="31.5">
      <c r="A113" s="19" t="s">
        <v>160</v>
      </c>
      <c r="B113" s="19" t="s">
        <v>215</v>
      </c>
      <c r="C113" s="135" t="s">
        <v>221</v>
      </c>
      <c r="D113" s="116">
        <f>'РОСПИСЬ на 30092016'!D113/12*9</f>
        <v>162.2</v>
      </c>
      <c r="E113" s="119">
        <v>0</v>
      </c>
      <c r="F113" s="119">
        <v>0</v>
      </c>
      <c r="G113" s="119">
        <v>0</v>
      </c>
      <c r="H113" s="119">
        <f t="shared" si="7"/>
        <v>0</v>
      </c>
      <c r="I113" s="35">
        <f t="shared" si="8"/>
        <v>0</v>
      </c>
      <c r="J113" s="35">
        <v>0</v>
      </c>
    </row>
    <row r="114" spans="1:10" ht="15.75">
      <c r="A114" s="19" t="s">
        <v>216</v>
      </c>
      <c r="B114" s="19" t="s">
        <v>42</v>
      </c>
      <c r="C114" s="135" t="s">
        <v>222</v>
      </c>
      <c r="D114" s="116">
        <f>'РОСПИСЬ на 30092016'!D114/12*9</f>
        <v>287.2</v>
      </c>
      <c r="E114" s="119">
        <v>0</v>
      </c>
      <c r="F114" s="119">
        <v>0</v>
      </c>
      <c r="G114" s="119">
        <v>0</v>
      </c>
      <c r="H114" s="119">
        <f t="shared" si="7"/>
        <v>0</v>
      </c>
      <c r="I114" s="35">
        <f t="shared" si="8"/>
        <v>0</v>
      </c>
      <c r="J114" s="35">
        <v>0</v>
      </c>
    </row>
    <row r="115" spans="1:10" ht="15.75">
      <c r="A115" s="19" t="s">
        <v>160</v>
      </c>
      <c r="B115" s="19" t="s">
        <v>41</v>
      </c>
      <c r="C115" s="20" t="s">
        <v>43</v>
      </c>
      <c r="D115" s="116">
        <v>1214.2</v>
      </c>
      <c r="E115" s="119">
        <v>1154.2</v>
      </c>
      <c r="F115" s="119">
        <v>1154.2</v>
      </c>
      <c r="G115" s="119">
        <v>0</v>
      </c>
      <c r="H115" s="119">
        <f t="shared" si="7"/>
        <v>1154.2</v>
      </c>
      <c r="I115" s="35">
        <f t="shared" si="8"/>
        <v>95</v>
      </c>
      <c r="J115" s="35">
        <f>E115*100/H115</f>
        <v>100</v>
      </c>
    </row>
    <row r="116" spans="1:10" ht="15.75">
      <c r="A116" s="19" t="s">
        <v>193</v>
      </c>
      <c r="B116" s="19" t="s">
        <v>41</v>
      </c>
      <c r="C116" s="20" t="s">
        <v>43</v>
      </c>
      <c r="D116" s="116">
        <f>'РОСПИСЬ на 30092016'!D116/12*9</f>
        <v>136.1</v>
      </c>
      <c r="E116" s="119">
        <v>0</v>
      </c>
      <c r="F116" s="119">
        <v>0</v>
      </c>
      <c r="G116" s="119">
        <v>0</v>
      </c>
      <c r="H116" s="119">
        <f t="shared" si="7"/>
        <v>0</v>
      </c>
      <c r="I116" s="35">
        <f t="shared" si="8"/>
        <v>0</v>
      </c>
      <c r="J116" s="35">
        <v>0</v>
      </c>
    </row>
    <row r="117" spans="1:10" ht="63">
      <c r="A117" s="19"/>
      <c r="B117" s="19"/>
      <c r="C117" s="17" t="s">
        <v>217</v>
      </c>
      <c r="D117" s="96">
        <f>D118+D119+D120+D121</f>
        <v>1548.6</v>
      </c>
      <c r="E117" s="96">
        <f>E118+E119+E120+E121</f>
        <v>0</v>
      </c>
      <c r="F117" s="96">
        <f>F118+F119+F120+F121</f>
        <v>0</v>
      </c>
      <c r="G117" s="96">
        <f>G118+G119+G120+G121</f>
        <v>0</v>
      </c>
      <c r="H117" s="96">
        <f>H118+H119+H120+H121</f>
        <v>0</v>
      </c>
      <c r="I117" s="62">
        <f t="shared" si="8"/>
        <v>0</v>
      </c>
      <c r="J117" s="62">
        <v>0</v>
      </c>
    </row>
    <row r="118" spans="1:10" ht="31.5">
      <c r="A118" s="19" t="s">
        <v>219</v>
      </c>
      <c r="B118" s="19" t="s">
        <v>46</v>
      </c>
      <c r="C118" s="4" t="s">
        <v>61</v>
      </c>
      <c r="D118" s="116">
        <f>'РОСПИСЬ на 30092016'!D118/12*9</f>
        <v>345</v>
      </c>
      <c r="E118" s="145">
        <v>0</v>
      </c>
      <c r="F118" s="145">
        <v>0</v>
      </c>
      <c r="G118" s="144">
        <v>0</v>
      </c>
      <c r="H118" s="119">
        <f>G118+E118</f>
        <v>0</v>
      </c>
      <c r="I118" s="35">
        <f t="shared" si="8"/>
        <v>0</v>
      </c>
      <c r="J118" s="35">
        <v>0</v>
      </c>
    </row>
    <row r="119" spans="1:10" ht="31.5">
      <c r="A119" s="19" t="s">
        <v>218</v>
      </c>
      <c r="B119" s="19" t="s">
        <v>46</v>
      </c>
      <c r="C119" s="4" t="s">
        <v>61</v>
      </c>
      <c r="D119" s="116">
        <f>'РОСПИСЬ на 30092016'!D119/12*9</f>
        <v>796.1</v>
      </c>
      <c r="E119" s="145">
        <v>0</v>
      </c>
      <c r="F119" s="145">
        <v>0</v>
      </c>
      <c r="G119" s="144">
        <v>0</v>
      </c>
      <c r="H119" s="119">
        <f t="shared" si="7"/>
        <v>0</v>
      </c>
      <c r="I119" s="35">
        <f t="shared" si="8"/>
        <v>0</v>
      </c>
      <c r="J119" s="35">
        <v>0</v>
      </c>
    </row>
    <row r="120" spans="1:10" ht="15.75">
      <c r="A120" s="19" t="s">
        <v>218</v>
      </c>
      <c r="B120" s="19" t="s">
        <v>41</v>
      </c>
      <c r="C120" s="20" t="s">
        <v>43</v>
      </c>
      <c r="D120" s="116">
        <f>'РОСПИСЬ на 30092016'!D120/12*9</f>
        <v>317.5</v>
      </c>
      <c r="E120" s="145">
        <v>0</v>
      </c>
      <c r="F120" s="145">
        <v>0</v>
      </c>
      <c r="G120" s="144">
        <v>0</v>
      </c>
      <c r="H120" s="119">
        <f t="shared" si="7"/>
        <v>0</v>
      </c>
      <c r="I120" s="35">
        <f t="shared" si="8"/>
        <v>0</v>
      </c>
      <c r="J120" s="35">
        <v>0</v>
      </c>
    </row>
    <row r="121" spans="1:10" ht="31.5">
      <c r="A121" s="19" t="s">
        <v>218</v>
      </c>
      <c r="B121" s="19" t="s">
        <v>47</v>
      </c>
      <c r="C121" s="135" t="s">
        <v>221</v>
      </c>
      <c r="D121" s="116">
        <f>'РОСПИСЬ на 30092016'!D121/12*9</f>
        <v>90</v>
      </c>
      <c r="E121" s="145">
        <v>0</v>
      </c>
      <c r="F121" s="145">
        <v>0</v>
      </c>
      <c r="G121" s="144">
        <v>0</v>
      </c>
      <c r="H121" s="119">
        <f t="shared" si="7"/>
        <v>0</v>
      </c>
      <c r="I121" s="35">
        <f t="shared" si="8"/>
        <v>0</v>
      </c>
      <c r="J121" s="35">
        <v>0</v>
      </c>
    </row>
    <row r="122" spans="1:10" ht="31.5">
      <c r="A122" s="15"/>
      <c r="B122" s="11"/>
      <c r="C122" s="17" t="s">
        <v>70</v>
      </c>
      <c r="D122" s="95">
        <f>D123+D124</f>
        <v>2939.6</v>
      </c>
      <c r="E122" s="95">
        <f>E123+E124</f>
        <v>126</v>
      </c>
      <c r="F122" s="95">
        <f>F123+F124</f>
        <v>126</v>
      </c>
      <c r="G122" s="95">
        <f>G123+G124</f>
        <v>0</v>
      </c>
      <c r="H122" s="95">
        <f>H123+H124</f>
        <v>126</v>
      </c>
      <c r="I122" s="62">
        <f t="shared" si="8"/>
        <v>4</v>
      </c>
      <c r="J122" s="62">
        <f>E122*100/H122</f>
        <v>100</v>
      </c>
    </row>
    <row r="123" spans="1:10" ht="31.5">
      <c r="A123" s="11" t="s">
        <v>173</v>
      </c>
      <c r="B123" s="11" t="s">
        <v>46</v>
      </c>
      <c r="C123" s="4" t="s">
        <v>61</v>
      </c>
      <c r="D123" s="116">
        <f>'РОСПИСЬ на 30092016'!D123/12*9</f>
        <v>2733.3</v>
      </c>
      <c r="E123" s="146">
        <v>0</v>
      </c>
      <c r="F123" s="146">
        <v>0</v>
      </c>
      <c r="G123" s="147">
        <v>0</v>
      </c>
      <c r="H123" s="119">
        <f>G123+E123</f>
        <v>0</v>
      </c>
      <c r="I123" s="35">
        <f t="shared" si="8"/>
        <v>0</v>
      </c>
      <c r="J123" s="35">
        <v>0</v>
      </c>
    </row>
    <row r="124" spans="1:10" ht="15.75">
      <c r="A124" s="11" t="s">
        <v>173</v>
      </c>
      <c r="B124" s="12">
        <v>226900</v>
      </c>
      <c r="C124" s="107" t="s">
        <v>197</v>
      </c>
      <c r="D124" s="116">
        <f>'РОСПИСЬ на 30092016'!D124/12*9</f>
        <v>206.3</v>
      </c>
      <c r="E124" s="148">
        <v>126</v>
      </c>
      <c r="F124" s="148">
        <v>126</v>
      </c>
      <c r="G124" s="147">
        <v>0</v>
      </c>
      <c r="H124" s="119">
        <f>G124+E124</f>
        <v>126</v>
      </c>
      <c r="I124" s="35">
        <f t="shared" si="8"/>
        <v>61</v>
      </c>
      <c r="J124" s="35">
        <f>E124*100/H124</f>
        <v>100</v>
      </c>
    </row>
    <row r="125" spans="1:10" ht="31.5">
      <c r="A125" s="108"/>
      <c r="B125" s="108"/>
      <c r="C125" s="17" t="s">
        <v>198</v>
      </c>
      <c r="D125" s="110">
        <f>D126+D127</f>
        <v>1255.5</v>
      </c>
      <c r="E125" s="110">
        <f>E126+E127</f>
        <v>0</v>
      </c>
      <c r="F125" s="110">
        <f>F126+F127</f>
        <v>0</v>
      </c>
      <c r="G125" s="110">
        <f>G126+G127</f>
        <v>0</v>
      </c>
      <c r="H125" s="119">
        <f>G125+E125</f>
        <v>0</v>
      </c>
      <c r="I125" s="35">
        <f t="shared" si="8"/>
        <v>0</v>
      </c>
      <c r="J125" s="35">
        <v>0</v>
      </c>
    </row>
    <row r="126" spans="1:10" ht="31.5">
      <c r="A126" s="11" t="s">
        <v>199</v>
      </c>
      <c r="B126" s="11" t="s">
        <v>46</v>
      </c>
      <c r="C126" s="4" t="s">
        <v>61</v>
      </c>
      <c r="D126" s="116">
        <f>'РОСПИСЬ на 30092016'!D126/12*9</f>
        <v>1049.2</v>
      </c>
      <c r="E126" s="148">
        <v>0</v>
      </c>
      <c r="F126" s="148">
        <v>0</v>
      </c>
      <c r="G126" s="147">
        <v>0</v>
      </c>
      <c r="H126" s="119">
        <f>G126+E126</f>
        <v>0</v>
      </c>
      <c r="I126" s="35">
        <f t="shared" si="8"/>
        <v>0</v>
      </c>
      <c r="J126" s="35">
        <v>0</v>
      </c>
    </row>
    <row r="127" spans="1:10" ht="15.75">
      <c r="A127" s="11" t="s">
        <v>200</v>
      </c>
      <c r="B127" s="19" t="s">
        <v>41</v>
      </c>
      <c r="C127" s="20" t="s">
        <v>43</v>
      </c>
      <c r="D127" s="116">
        <f>'РОСПИСЬ на 30092016'!D127/12*9</f>
        <v>206.3</v>
      </c>
      <c r="E127" s="148">
        <v>0</v>
      </c>
      <c r="F127" s="148">
        <v>0</v>
      </c>
      <c r="G127" s="147">
        <v>0</v>
      </c>
      <c r="H127" s="119">
        <f>G127+E127</f>
        <v>0</v>
      </c>
      <c r="I127" s="35">
        <f t="shared" si="8"/>
        <v>0</v>
      </c>
      <c r="J127" s="35">
        <v>0</v>
      </c>
    </row>
  </sheetData>
  <sheetProtection/>
  <mergeCells count="7">
    <mergeCell ref="A2:J2"/>
    <mergeCell ref="A3:A4"/>
    <mergeCell ref="B3:B4"/>
    <mergeCell ref="C3:C4"/>
    <mergeCell ref="D3:H3"/>
    <mergeCell ref="I3:I4"/>
    <mergeCell ref="J3:J4"/>
  </mergeCells>
  <printOptions horizontalCentered="1"/>
  <pageMargins left="0.1968503937007874" right="0.1968503937007874" top="0.2362204724409449" bottom="0.2362204724409449" header="0.31496062992125984" footer="0.31496062992125984"/>
  <pageSetup fitToHeight="6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3:K130"/>
  <sheetViews>
    <sheetView view="pageBreakPreview" zoomScaleSheetLayoutView="100" zoomScalePageLayoutView="0" workbookViewId="0" topLeftCell="A1">
      <pane xSplit="4" ySplit="5" topLeftCell="E4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C48" sqref="C48"/>
    </sheetView>
  </sheetViews>
  <sheetFormatPr defaultColWidth="9.140625" defaultRowHeight="12.75"/>
  <cols>
    <col min="1" max="1" width="28.140625" style="5" customWidth="1"/>
    <col min="2" max="2" width="10.8515625" style="5" customWidth="1"/>
    <col min="3" max="3" width="43.28125" style="5" customWidth="1"/>
    <col min="4" max="4" width="18.140625" style="57" customWidth="1"/>
    <col min="5" max="5" width="16.140625" style="5" customWidth="1"/>
    <col min="6" max="6" width="15.7109375" style="5" customWidth="1"/>
    <col min="7" max="7" width="16.7109375" style="5" customWidth="1"/>
    <col min="8" max="10" width="7.421875" style="5" customWidth="1"/>
    <col min="11" max="11" width="10.7109375" style="5" bestFit="1" customWidth="1"/>
    <col min="12" max="16384" width="9.140625" style="5" customWidth="1"/>
  </cols>
  <sheetData>
    <row r="3" spans="1:4" ht="88.5" customHeight="1">
      <c r="A3" s="170" t="s">
        <v>212</v>
      </c>
      <c r="B3" s="170"/>
      <c r="C3" s="170"/>
      <c r="D3" s="170"/>
    </row>
    <row r="4" spans="1:5" s="8" customFormat="1" ht="31.5">
      <c r="A4" s="6" t="s">
        <v>0</v>
      </c>
      <c r="B4" s="6" t="s">
        <v>17</v>
      </c>
      <c r="C4" s="6" t="s">
        <v>1</v>
      </c>
      <c r="D4" s="54" t="s">
        <v>118</v>
      </c>
      <c r="E4" s="105"/>
    </row>
    <row r="5" spans="1:5" s="8" customFormat="1" ht="15.75">
      <c r="A5" s="6">
        <v>1</v>
      </c>
      <c r="B5" s="6">
        <f>A5+1</f>
        <v>2</v>
      </c>
      <c r="C5" s="6">
        <f>B5+1</f>
        <v>3</v>
      </c>
      <c r="D5" s="54">
        <f>C5+1</f>
        <v>4</v>
      </c>
      <c r="E5" s="105"/>
    </row>
    <row r="6" spans="1:5" s="8" customFormat="1" ht="31.5">
      <c r="A6" s="6"/>
      <c r="B6" s="6"/>
      <c r="C6" s="9" t="s">
        <v>183</v>
      </c>
      <c r="D6" s="95">
        <f>D7+D10+D15+D20</f>
        <v>4362581.2</v>
      </c>
      <c r="E6" s="105"/>
    </row>
    <row r="7" spans="1:5" s="8" customFormat="1" ht="15.75">
      <c r="A7" s="9" t="s">
        <v>5</v>
      </c>
      <c r="B7" s="6"/>
      <c r="C7" s="9" t="s">
        <v>4</v>
      </c>
      <c r="D7" s="96">
        <f>D8+D9</f>
        <v>12833.2</v>
      </c>
      <c r="E7" s="105"/>
    </row>
    <row r="8" spans="1:5" s="13" customFormat="1" ht="89.25" customHeight="1">
      <c r="A8" s="11" t="s">
        <v>190</v>
      </c>
      <c r="B8" s="12">
        <v>242000</v>
      </c>
      <c r="C8" s="12" t="s">
        <v>189</v>
      </c>
      <c r="D8" s="97">
        <v>12683.2</v>
      </c>
      <c r="E8" s="105"/>
    </row>
    <row r="9" spans="1:5" s="13" customFormat="1" ht="49.5" customHeight="1">
      <c r="A9" s="11" t="s">
        <v>178</v>
      </c>
      <c r="B9" s="12">
        <v>290900</v>
      </c>
      <c r="C9" s="12" t="s">
        <v>181</v>
      </c>
      <c r="D9" s="97">
        <v>150</v>
      </c>
      <c r="E9" s="105"/>
    </row>
    <row r="10" spans="1:5" s="13" customFormat="1" ht="15.75">
      <c r="A10" s="9" t="s">
        <v>6</v>
      </c>
      <c r="B10" s="9"/>
      <c r="C10" s="9" t="s">
        <v>7</v>
      </c>
      <c r="D10" s="96">
        <f>SUM(D11:D14)</f>
        <v>380.7</v>
      </c>
      <c r="E10" s="105"/>
    </row>
    <row r="11" spans="1:5" s="14" customFormat="1" ht="32.25" customHeight="1">
      <c r="A11" s="11" t="s">
        <v>179</v>
      </c>
      <c r="B11" s="12">
        <v>226900</v>
      </c>
      <c r="C11" s="12" t="s">
        <v>20</v>
      </c>
      <c r="D11" s="97">
        <v>200</v>
      </c>
      <c r="E11" s="105"/>
    </row>
    <row r="12" spans="1:5" s="14" customFormat="1" ht="22.5" customHeight="1">
      <c r="A12" s="11" t="s">
        <v>180</v>
      </c>
      <c r="B12" s="12">
        <v>212101</v>
      </c>
      <c r="C12" s="12" t="s">
        <v>58</v>
      </c>
      <c r="D12" s="97">
        <v>40</v>
      </c>
      <c r="E12" s="105"/>
    </row>
    <row r="13" spans="1:5" s="14" customFormat="1" ht="31.5">
      <c r="A13" s="11" t="s">
        <v>180</v>
      </c>
      <c r="B13" s="12">
        <v>222101</v>
      </c>
      <c r="C13" s="12" t="s">
        <v>56</v>
      </c>
      <c r="D13" s="97">
        <v>15</v>
      </c>
      <c r="E13" s="105"/>
    </row>
    <row r="14" spans="1:5" s="14" customFormat="1" ht="47.25">
      <c r="A14" s="11" t="s">
        <v>180</v>
      </c>
      <c r="B14" s="12">
        <v>212103</v>
      </c>
      <c r="C14" s="12" t="s">
        <v>57</v>
      </c>
      <c r="D14" s="97">
        <v>125.7</v>
      </c>
      <c r="E14" s="105"/>
    </row>
    <row r="15" spans="1:5" s="14" customFormat="1" ht="47.25">
      <c r="A15" s="15"/>
      <c r="B15" s="9"/>
      <c r="C15" s="9" t="s">
        <v>112</v>
      </c>
      <c r="D15" s="96">
        <f>D16+D17+D18+D19</f>
        <v>109037.5</v>
      </c>
      <c r="E15" s="105"/>
    </row>
    <row r="16" spans="1:5" s="14" customFormat="1" ht="31.5">
      <c r="A16" s="11" t="s">
        <v>127</v>
      </c>
      <c r="B16" s="12">
        <v>226900</v>
      </c>
      <c r="C16" s="12" t="s">
        <v>30</v>
      </c>
      <c r="D16" s="97">
        <f>51000-4609.2+12.82</f>
        <v>46403.6</v>
      </c>
      <c r="E16" s="105"/>
    </row>
    <row r="17" spans="1:5" s="14" customFormat="1" ht="15.75">
      <c r="A17" s="11" t="s">
        <v>128</v>
      </c>
      <c r="B17" s="12">
        <v>262200</v>
      </c>
      <c r="C17" s="12" t="s">
        <v>68</v>
      </c>
      <c r="D17" s="97">
        <v>1500</v>
      </c>
      <c r="E17" s="105"/>
    </row>
    <row r="18" spans="1:5" s="14" customFormat="1" ht="31.5">
      <c r="A18" s="11" t="s">
        <v>126</v>
      </c>
      <c r="B18" s="12">
        <v>251000</v>
      </c>
      <c r="C18" s="12" t="s">
        <v>30</v>
      </c>
      <c r="D18" s="97">
        <v>11831.4</v>
      </c>
      <c r="E18" s="105"/>
    </row>
    <row r="19" spans="1:5" s="14" customFormat="1" ht="47.25">
      <c r="A19" s="11" t="s">
        <v>191</v>
      </c>
      <c r="B19" s="12">
        <v>226900</v>
      </c>
      <c r="C19" s="12" t="s">
        <v>192</v>
      </c>
      <c r="D19" s="97">
        <v>49302.5</v>
      </c>
      <c r="E19" s="105"/>
    </row>
    <row r="20" spans="1:5" s="14" customFormat="1" ht="15.75">
      <c r="A20" s="2" t="s">
        <v>92</v>
      </c>
      <c r="B20" s="33"/>
      <c r="C20" s="1" t="s">
        <v>93</v>
      </c>
      <c r="D20" s="96">
        <f>D21+D24+D57+D104+D47</f>
        <v>4240329.8</v>
      </c>
      <c r="E20" s="105"/>
    </row>
    <row r="21" spans="1:5" s="18" customFormat="1" ht="47.25">
      <c r="A21" s="16" t="s">
        <v>62</v>
      </c>
      <c r="B21" s="16"/>
      <c r="C21" s="17" t="s">
        <v>21</v>
      </c>
      <c r="D21" s="96">
        <f>SUM(D22:D23)</f>
        <v>231344.8</v>
      </c>
      <c r="E21" s="105"/>
    </row>
    <row r="22" spans="1:5" s="18" customFormat="1" ht="47.25">
      <c r="A22" s="19" t="s">
        <v>129</v>
      </c>
      <c r="B22" s="19" t="s">
        <v>44</v>
      </c>
      <c r="C22" s="20" t="s">
        <v>63</v>
      </c>
      <c r="D22" s="97">
        <v>134259.8</v>
      </c>
      <c r="E22" s="105"/>
    </row>
    <row r="23" spans="1:5" s="18" customFormat="1" ht="63">
      <c r="A23" s="19" t="s">
        <v>130</v>
      </c>
      <c r="B23" s="19" t="s">
        <v>44</v>
      </c>
      <c r="C23" s="20" t="s">
        <v>64</v>
      </c>
      <c r="D23" s="97">
        <v>97085</v>
      </c>
      <c r="E23" s="105"/>
    </row>
    <row r="24" spans="1:5" s="18" customFormat="1" ht="15.75">
      <c r="A24" s="16" t="s">
        <v>71</v>
      </c>
      <c r="B24" s="16"/>
      <c r="C24" s="17" t="s">
        <v>72</v>
      </c>
      <c r="D24" s="96">
        <f>D25+D36</f>
        <v>882000.3</v>
      </c>
      <c r="E24" s="105"/>
    </row>
    <row r="25" spans="1:5" s="18" customFormat="1" ht="31.5">
      <c r="A25" s="16" t="s">
        <v>131</v>
      </c>
      <c r="B25" s="16"/>
      <c r="C25" s="3" t="s">
        <v>73</v>
      </c>
      <c r="D25" s="96">
        <f>D26+D34+D35</f>
        <v>299223.9</v>
      </c>
      <c r="E25" s="105"/>
    </row>
    <row r="26" spans="1:5" s="43" customFormat="1" ht="31.5">
      <c r="A26" s="44"/>
      <c r="B26" s="44"/>
      <c r="C26" s="42" t="s">
        <v>74</v>
      </c>
      <c r="D26" s="97">
        <f>D27+D28+D29+D30+D31+D32+D33</f>
        <v>210763.5</v>
      </c>
      <c r="E26" s="105"/>
    </row>
    <row r="27" spans="1:5" s="43" customFormat="1" ht="15.75">
      <c r="A27" s="38" t="s">
        <v>132</v>
      </c>
      <c r="B27" s="41" t="s">
        <v>75</v>
      </c>
      <c r="C27" s="39" t="s">
        <v>86</v>
      </c>
      <c r="D27" s="106">
        <v>156671.88</v>
      </c>
      <c r="E27" s="105"/>
    </row>
    <row r="28" spans="1:5" s="43" customFormat="1" ht="15.75">
      <c r="A28" s="38"/>
      <c r="B28" s="41" t="s">
        <v>31</v>
      </c>
      <c r="C28" s="39" t="s">
        <v>76</v>
      </c>
      <c r="D28" s="97">
        <v>545.7</v>
      </c>
      <c r="E28" s="105"/>
    </row>
    <row r="29" spans="1:5" s="43" customFormat="1" ht="15.75">
      <c r="A29" s="38"/>
      <c r="B29" s="41" t="s">
        <v>77</v>
      </c>
      <c r="C29" s="39" t="s">
        <v>78</v>
      </c>
      <c r="D29" s="97">
        <v>22360.3</v>
      </c>
      <c r="E29" s="105"/>
    </row>
    <row r="30" spans="1:5" s="43" customFormat="1" ht="15.75">
      <c r="A30" s="38"/>
      <c r="B30" s="41" t="s">
        <v>79</v>
      </c>
      <c r="C30" s="39" t="s">
        <v>80</v>
      </c>
      <c r="D30" s="97">
        <v>18406.1</v>
      </c>
      <c r="E30" s="105"/>
    </row>
    <row r="31" spans="1:5" s="43" customFormat="1" ht="15.75">
      <c r="A31" s="38"/>
      <c r="B31" s="41" t="s">
        <v>81</v>
      </c>
      <c r="C31" s="39" t="s">
        <v>82</v>
      </c>
      <c r="D31" s="97">
        <v>1061.9</v>
      </c>
      <c r="E31" s="105"/>
    </row>
    <row r="32" spans="1:5" s="43" customFormat="1" ht="15.75">
      <c r="A32" s="38"/>
      <c r="B32" s="41" t="s">
        <v>83</v>
      </c>
      <c r="C32" s="39" t="s">
        <v>84</v>
      </c>
      <c r="D32" s="97">
        <v>8892.3</v>
      </c>
      <c r="E32" s="105"/>
    </row>
    <row r="33" spans="1:11" s="43" customFormat="1" ht="15.75">
      <c r="A33" s="38"/>
      <c r="B33" s="41"/>
      <c r="C33" s="39" t="s">
        <v>85</v>
      </c>
      <c r="D33" s="97">
        <v>2825.3</v>
      </c>
      <c r="E33" s="105"/>
      <c r="G33" s="114">
        <f>D34+D35+D45+D46</f>
        <v>133237</v>
      </c>
      <c r="K33" s="114">
        <f>D34+D45</f>
        <v>39191.9</v>
      </c>
    </row>
    <row r="34" spans="1:11" s="43" customFormat="1" ht="15.75">
      <c r="A34" s="27" t="s">
        <v>133</v>
      </c>
      <c r="B34" s="27"/>
      <c r="C34" s="28" t="s">
        <v>87</v>
      </c>
      <c r="D34" s="96">
        <v>1965.5</v>
      </c>
      <c r="E34" s="105"/>
      <c r="K34" s="89">
        <f>D35+D46</f>
        <v>94045.1</v>
      </c>
    </row>
    <row r="35" spans="1:7" s="43" customFormat="1" ht="31.5">
      <c r="A35" s="27" t="s">
        <v>134</v>
      </c>
      <c r="B35" s="27"/>
      <c r="C35" s="28" t="s">
        <v>88</v>
      </c>
      <c r="D35" s="96">
        <v>86494.9</v>
      </c>
      <c r="E35" s="105"/>
      <c r="G35" s="89">
        <f>D37+D26</f>
        <v>748763.3</v>
      </c>
    </row>
    <row r="36" spans="1:5" s="43" customFormat="1" ht="31.5">
      <c r="A36" s="44" t="s">
        <v>131</v>
      </c>
      <c r="B36" s="44"/>
      <c r="C36" s="28" t="s">
        <v>89</v>
      </c>
      <c r="D36" s="96">
        <f>D37+D45+D46</f>
        <v>582776.4</v>
      </c>
      <c r="E36" s="105"/>
    </row>
    <row r="37" spans="1:5" s="43" customFormat="1" ht="31.5">
      <c r="A37" s="44"/>
      <c r="B37" s="44"/>
      <c r="C37" s="42" t="s">
        <v>74</v>
      </c>
      <c r="D37" s="97">
        <f>D38+D39+D40+D41+D42+D43+D44</f>
        <v>537999.8</v>
      </c>
      <c r="E37" s="105"/>
    </row>
    <row r="38" spans="1:5" s="43" customFormat="1" ht="15.75">
      <c r="A38" s="48" t="s">
        <v>132</v>
      </c>
      <c r="B38" s="41" t="s">
        <v>75</v>
      </c>
      <c r="C38" s="39" t="s">
        <v>90</v>
      </c>
      <c r="D38" s="97">
        <v>440278.4</v>
      </c>
      <c r="E38" s="105"/>
    </row>
    <row r="39" spans="1:5" s="43" customFormat="1" ht="15.75">
      <c r="A39" s="44"/>
      <c r="B39" s="41" t="s">
        <v>31</v>
      </c>
      <c r="C39" s="39" t="s">
        <v>76</v>
      </c>
      <c r="D39" s="97">
        <v>2215.6</v>
      </c>
      <c r="E39" s="105"/>
    </row>
    <row r="40" spans="1:5" s="43" customFormat="1" ht="15.75">
      <c r="A40" s="44"/>
      <c r="B40" s="41" t="s">
        <v>77</v>
      </c>
      <c r="C40" s="39" t="s">
        <v>78</v>
      </c>
      <c r="D40" s="97">
        <f>21790.1-300.1</f>
        <v>21490</v>
      </c>
      <c r="E40" s="105"/>
    </row>
    <row r="41" spans="1:5" s="43" customFormat="1" ht="15.75">
      <c r="A41" s="44"/>
      <c r="B41" s="41" t="s">
        <v>79</v>
      </c>
      <c r="C41" s="39" t="s">
        <v>80</v>
      </c>
      <c r="D41" s="97">
        <v>38961.9</v>
      </c>
      <c r="E41" s="105"/>
    </row>
    <row r="42" spans="1:5" s="43" customFormat="1" ht="15.75">
      <c r="A42" s="44"/>
      <c r="B42" s="41" t="s">
        <v>81</v>
      </c>
      <c r="C42" s="39" t="s">
        <v>82</v>
      </c>
      <c r="D42" s="97">
        <v>3325.4</v>
      </c>
      <c r="E42" s="105"/>
    </row>
    <row r="43" spans="1:5" s="43" customFormat="1" ht="15.75">
      <c r="A43" s="44"/>
      <c r="B43" s="41" t="s">
        <v>83</v>
      </c>
      <c r="C43" s="39" t="s">
        <v>84</v>
      </c>
      <c r="D43" s="97">
        <v>8894</v>
      </c>
      <c r="E43" s="105"/>
    </row>
    <row r="44" spans="1:5" s="43" customFormat="1" ht="15.75">
      <c r="A44" s="44"/>
      <c r="B44" s="41"/>
      <c r="C44" s="39" t="s">
        <v>85</v>
      </c>
      <c r="D44" s="97">
        <f>2.21+22816.3+16</f>
        <v>22834.5</v>
      </c>
      <c r="E44" s="105"/>
    </row>
    <row r="45" spans="1:5" s="43" customFormat="1" ht="15.75">
      <c r="A45" s="27" t="s">
        <v>133</v>
      </c>
      <c r="B45" s="27"/>
      <c r="C45" s="28" t="s">
        <v>87</v>
      </c>
      <c r="D45" s="96">
        <v>37226.4</v>
      </c>
      <c r="E45" s="105"/>
    </row>
    <row r="46" spans="1:5" s="43" customFormat="1" ht="31.5">
      <c r="A46" s="27" t="s">
        <v>133</v>
      </c>
      <c r="B46" s="27"/>
      <c r="C46" s="28" t="s">
        <v>88</v>
      </c>
      <c r="D46" s="96">
        <v>7550.2</v>
      </c>
      <c r="E46" s="105"/>
    </row>
    <row r="47" spans="1:6" s="43" customFormat="1" ht="47.25">
      <c r="A47" s="27" t="s">
        <v>136</v>
      </c>
      <c r="B47" s="27"/>
      <c r="C47" s="28" t="s">
        <v>106</v>
      </c>
      <c r="D47" s="96">
        <f>D48+D55+D56</f>
        <v>136916.2</v>
      </c>
      <c r="E47" s="105"/>
      <c r="F47" s="114">
        <f>D47+D59+D60</f>
        <v>357793.9</v>
      </c>
    </row>
    <row r="48" spans="1:5" s="43" customFormat="1" ht="47.25">
      <c r="A48" s="27" t="s">
        <v>137</v>
      </c>
      <c r="B48" s="27"/>
      <c r="C48" s="28" t="s">
        <v>111</v>
      </c>
      <c r="D48" s="96">
        <f>D49+D50+D51+D52+D53+D54</f>
        <v>123398.3</v>
      </c>
      <c r="E48" s="105"/>
    </row>
    <row r="49" spans="1:6" s="43" customFormat="1" ht="15.75">
      <c r="A49" s="59"/>
      <c r="B49" s="41" t="s">
        <v>75</v>
      </c>
      <c r="C49" s="39" t="s">
        <v>90</v>
      </c>
      <c r="D49" s="97">
        <v>96630.2</v>
      </c>
      <c r="E49" s="105"/>
      <c r="F49" s="53"/>
    </row>
    <row r="50" spans="1:5" s="43" customFormat="1" ht="15.75">
      <c r="A50" s="27"/>
      <c r="B50" s="41" t="s">
        <v>31</v>
      </c>
      <c r="C50" s="39" t="s">
        <v>76</v>
      </c>
      <c r="D50" s="97">
        <v>2940.9</v>
      </c>
      <c r="E50" s="105"/>
    </row>
    <row r="51" spans="1:5" s="43" customFormat="1" ht="15.75">
      <c r="A51" s="27"/>
      <c r="B51" s="41" t="s">
        <v>77</v>
      </c>
      <c r="C51" s="39" t="s">
        <v>78</v>
      </c>
      <c r="D51" s="97">
        <v>4192.9</v>
      </c>
      <c r="E51" s="105"/>
    </row>
    <row r="52" spans="1:5" s="43" customFormat="1" ht="31.5">
      <c r="A52" s="27"/>
      <c r="B52" s="41" t="s">
        <v>107</v>
      </c>
      <c r="C52" s="42" t="s">
        <v>108</v>
      </c>
      <c r="D52" s="97">
        <v>858.5</v>
      </c>
      <c r="E52" s="105"/>
    </row>
    <row r="53" spans="1:5" s="43" customFormat="1" ht="15.75">
      <c r="A53" s="27"/>
      <c r="B53" s="41" t="s">
        <v>83</v>
      </c>
      <c r="C53" s="39" t="s">
        <v>84</v>
      </c>
      <c r="D53" s="97">
        <v>1225.4</v>
      </c>
      <c r="E53" s="105"/>
    </row>
    <row r="54" spans="1:5" s="43" customFormat="1" ht="15.75">
      <c r="A54" s="27"/>
      <c r="B54" s="41"/>
      <c r="C54" s="39" t="s">
        <v>85</v>
      </c>
      <c r="D54" s="97">
        <v>17550.4</v>
      </c>
      <c r="E54" s="105"/>
    </row>
    <row r="55" spans="1:5" s="43" customFormat="1" ht="63">
      <c r="A55" s="52" t="s">
        <v>208</v>
      </c>
      <c r="B55" s="27"/>
      <c r="C55" s="28" t="s">
        <v>109</v>
      </c>
      <c r="D55" s="96">
        <v>12185.6</v>
      </c>
      <c r="E55" s="105"/>
    </row>
    <row r="56" spans="1:5" s="43" customFormat="1" ht="47.25">
      <c r="A56" s="52" t="s">
        <v>187</v>
      </c>
      <c r="B56" s="27" t="s">
        <v>185</v>
      </c>
      <c r="C56" s="28" t="s">
        <v>186</v>
      </c>
      <c r="D56" s="96">
        <v>1332.3</v>
      </c>
      <c r="E56" s="105"/>
    </row>
    <row r="57" spans="1:5" s="43" customFormat="1" ht="15.75">
      <c r="A57" s="44" t="s">
        <v>174</v>
      </c>
      <c r="B57" s="44"/>
      <c r="C57" s="45" t="s">
        <v>9</v>
      </c>
      <c r="D57" s="96">
        <f>D58+D88+D95+D102</f>
        <v>2862481</v>
      </c>
      <c r="E57" s="105"/>
    </row>
    <row r="58" spans="1:9" s="43" customFormat="1" ht="15.75">
      <c r="A58" s="44"/>
      <c r="B58" s="44"/>
      <c r="C58" s="45" t="s">
        <v>10</v>
      </c>
      <c r="D58" s="96">
        <f>D59+D60+D61+D62+D63+D64+D65+D66+D68+D71+D72+D73+D74+D75+D76+D79+D80+D81+D82+D85+D86+D87</f>
        <v>2811123.7</v>
      </c>
      <c r="E58" s="105"/>
      <c r="F58" s="49"/>
      <c r="G58" s="49"/>
      <c r="H58" s="49"/>
      <c r="I58" s="49"/>
    </row>
    <row r="59" spans="1:9" s="29" customFormat="1" ht="47.25">
      <c r="A59" s="27" t="s">
        <v>139</v>
      </c>
      <c r="B59" s="27"/>
      <c r="C59" s="28" t="s">
        <v>110</v>
      </c>
      <c r="D59" s="99">
        <v>214793.8</v>
      </c>
      <c r="E59" s="105"/>
      <c r="F59" s="46"/>
      <c r="G59" s="90">
        <f>D59+D61+D63+D72+D73+D74+D75+D85+D103</f>
        <v>1465364.4</v>
      </c>
      <c r="H59" s="46"/>
      <c r="I59" s="46"/>
    </row>
    <row r="60" spans="1:9" s="29" customFormat="1" ht="63">
      <c r="A60" s="27" t="s">
        <v>207</v>
      </c>
      <c r="B60" s="27"/>
      <c r="C60" s="28" t="s">
        <v>109</v>
      </c>
      <c r="D60" s="99">
        <v>6083.9</v>
      </c>
      <c r="E60" s="105"/>
      <c r="F60" s="46"/>
      <c r="G60" s="90"/>
      <c r="H60" s="46"/>
      <c r="I60" s="46"/>
    </row>
    <row r="61" spans="1:9" s="29" customFormat="1" ht="98.25" customHeight="1">
      <c r="A61" s="27" t="s">
        <v>140</v>
      </c>
      <c r="B61" s="38"/>
      <c r="C61" s="28" t="s">
        <v>33</v>
      </c>
      <c r="D61" s="99">
        <v>2790.8</v>
      </c>
      <c r="E61" s="105"/>
      <c r="F61" s="50"/>
      <c r="G61" s="46"/>
      <c r="H61" s="46"/>
      <c r="I61" s="46"/>
    </row>
    <row r="62" spans="1:5" s="29" customFormat="1" ht="110.25">
      <c r="A62" s="27" t="s">
        <v>141</v>
      </c>
      <c r="B62" s="27"/>
      <c r="C62" s="28" t="s">
        <v>16</v>
      </c>
      <c r="D62" s="99">
        <v>3558.4</v>
      </c>
      <c r="E62" s="105"/>
    </row>
    <row r="63" spans="1:6" s="29" customFormat="1" ht="78.75">
      <c r="A63" s="27" t="s">
        <v>142</v>
      </c>
      <c r="B63" s="27"/>
      <c r="C63" s="28" t="s">
        <v>22</v>
      </c>
      <c r="D63" s="99">
        <v>12257.6</v>
      </c>
      <c r="E63" s="105"/>
      <c r="F63" s="51"/>
    </row>
    <row r="64" spans="1:5" s="29" customFormat="1" ht="31.5">
      <c r="A64" s="27" t="s">
        <v>143</v>
      </c>
      <c r="B64" s="27"/>
      <c r="C64" s="28" t="s">
        <v>15</v>
      </c>
      <c r="D64" s="99">
        <v>173662.9</v>
      </c>
      <c r="E64" s="105"/>
    </row>
    <row r="65" spans="1:5" s="29" customFormat="1" ht="47.25">
      <c r="A65" s="27" t="s">
        <v>144</v>
      </c>
      <c r="B65" s="60"/>
      <c r="C65" s="52" t="s">
        <v>100</v>
      </c>
      <c r="D65" s="99">
        <v>750</v>
      </c>
      <c r="E65" s="105"/>
    </row>
    <row r="66" spans="1:5" s="29" customFormat="1" ht="31.5">
      <c r="A66" s="27" t="s">
        <v>145</v>
      </c>
      <c r="B66" s="27"/>
      <c r="C66" s="28" t="s">
        <v>101</v>
      </c>
      <c r="D66" s="99">
        <v>43150</v>
      </c>
      <c r="E66" s="105"/>
    </row>
    <row r="67" spans="1:5" s="40" customFormat="1" ht="47.25">
      <c r="A67" s="38" t="s">
        <v>146</v>
      </c>
      <c r="B67" s="38" t="s">
        <v>29</v>
      </c>
      <c r="C67" s="42" t="s">
        <v>23</v>
      </c>
      <c r="D67" s="96">
        <f>D68+D71</f>
        <v>293466.8</v>
      </c>
      <c r="E67" s="105"/>
    </row>
    <row r="68" spans="1:5" s="141" customFormat="1" ht="31.5">
      <c r="A68" s="136" t="s">
        <v>147</v>
      </c>
      <c r="B68" s="137"/>
      <c r="C68" s="138" t="s">
        <v>18</v>
      </c>
      <c r="D68" s="139">
        <f>D69+D70</f>
        <v>278320.4</v>
      </c>
      <c r="E68" s="140"/>
    </row>
    <row r="69" spans="1:5" ht="31.5">
      <c r="A69" s="23"/>
      <c r="B69" s="19" t="s">
        <v>45</v>
      </c>
      <c r="C69" s="22" t="s">
        <v>116</v>
      </c>
      <c r="D69" s="100">
        <v>164814.4</v>
      </c>
      <c r="E69" s="105"/>
    </row>
    <row r="70" spans="1:6" s="26" customFormat="1" ht="31.5">
      <c r="A70" s="21"/>
      <c r="B70" s="19" t="s">
        <v>50</v>
      </c>
      <c r="C70" s="22" t="s">
        <v>34</v>
      </c>
      <c r="D70" s="100">
        <v>113506</v>
      </c>
      <c r="E70" s="105"/>
      <c r="F70" s="25"/>
    </row>
    <row r="71" spans="1:5" ht="47.25">
      <c r="A71" s="23" t="s">
        <v>148</v>
      </c>
      <c r="B71" s="19"/>
      <c r="C71" s="3" t="s">
        <v>24</v>
      </c>
      <c r="D71" s="99">
        <v>15146.4</v>
      </c>
      <c r="E71" s="105"/>
    </row>
    <row r="72" spans="1:5" s="24" customFormat="1" ht="47.25">
      <c r="A72" s="23" t="s">
        <v>149</v>
      </c>
      <c r="B72" s="23" t="s">
        <v>2</v>
      </c>
      <c r="C72" s="3" t="s">
        <v>67</v>
      </c>
      <c r="D72" s="99">
        <v>825224.3</v>
      </c>
      <c r="E72" s="105"/>
    </row>
    <row r="73" spans="1:5" s="24" customFormat="1" ht="96.75" customHeight="1">
      <c r="A73" s="23" t="s">
        <v>150</v>
      </c>
      <c r="B73" s="23"/>
      <c r="C73" s="3" t="s">
        <v>25</v>
      </c>
      <c r="D73" s="99">
        <v>30.4</v>
      </c>
      <c r="E73" s="105"/>
    </row>
    <row r="74" spans="1:5" s="24" customFormat="1" ht="96" customHeight="1">
      <c r="A74" s="23" t="s">
        <v>151</v>
      </c>
      <c r="B74" s="23" t="s">
        <v>42</v>
      </c>
      <c r="C74" s="3" t="s">
        <v>26</v>
      </c>
      <c r="D74" s="99">
        <v>15.2</v>
      </c>
      <c r="E74" s="105"/>
    </row>
    <row r="75" spans="1:5" s="29" customFormat="1" ht="176.25" customHeight="1">
      <c r="A75" s="27" t="s">
        <v>152</v>
      </c>
      <c r="B75" s="27" t="s">
        <v>45</v>
      </c>
      <c r="C75" s="28" t="s">
        <v>39</v>
      </c>
      <c r="D75" s="99">
        <v>391068.6</v>
      </c>
      <c r="E75" s="105"/>
    </row>
    <row r="76" spans="1:5" s="141" customFormat="1" ht="78.75">
      <c r="A76" s="142" t="s">
        <v>153</v>
      </c>
      <c r="B76" s="137"/>
      <c r="C76" s="143" t="s">
        <v>35</v>
      </c>
      <c r="D76" s="113">
        <f>D77+D78</f>
        <v>345970.6</v>
      </c>
      <c r="E76" s="140"/>
    </row>
    <row r="77" spans="1:5" s="18" customFormat="1" ht="31.5">
      <c r="A77" s="19"/>
      <c r="B77" s="19" t="s">
        <v>45</v>
      </c>
      <c r="C77" s="20" t="s">
        <v>115</v>
      </c>
      <c r="D77" s="97">
        <v>237691</v>
      </c>
      <c r="E77" s="105"/>
    </row>
    <row r="78" spans="1:6" s="18" customFormat="1" ht="35.25" customHeight="1">
      <c r="A78" s="19"/>
      <c r="B78" s="19" t="s">
        <v>50</v>
      </c>
      <c r="C78" s="20" t="s">
        <v>36</v>
      </c>
      <c r="D78" s="97">
        <v>108279.6</v>
      </c>
      <c r="E78" s="105"/>
      <c r="F78" s="30"/>
    </row>
    <row r="79" spans="1:5" s="24" customFormat="1" ht="63">
      <c r="A79" s="23" t="s">
        <v>154</v>
      </c>
      <c r="B79" s="23" t="s">
        <v>42</v>
      </c>
      <c r="C79" s="3" t="s">
        <v>27</v>
      </c>
      <c r="D79" s="99">
        <v>180162.7</v>
      </c>
      <c r="E79" s="105"/>
    </row>
    <row r="80" spans="1:5" s="24" customFormat="1" ht="48.75" customHeight="1">
      <c r="A80" s="23" t="s">
        <v>155</v>
      </c>
      <c r="B80" s="23" t="s">
        <v>45</v>
      </c>
      <c r="C80" s="3" t="s">
        <v>37</v>
      </c>
      <c r="D80" s="99">
        <v>177787.5</v>
      </c>
      <c r="E80" s="105"/>
    </row>
    <row r="81" spans="1:5" s="18" customFormat="1" ht="37.5" customHeight="1">
      <c r="A81" s="16" t="s">
        <v>156</v>
      </c>
      <c r="B81" s="16" t="s">
        <v>45</v>
      </c>
      <c r="C81" s="17" t="s">
        <v>66</v>
      </c>
      <c r="D81" s="101">
        <v>2295.4</v>
      </c>
      <c r="E81" s="105"/>
    </row>
    <row r="82" spans="1:5" s="18" customFormat="1" ht="31.5">
      <c r="A82" s="23" t="s">
        <v>157</v>
      </c>
      <c r="B82" s="16"/>
      <c r="C82" s="3" t="s">
        <v>49</v>
      </c>
      <c r="D82" s="96">
        <f>D83+D84</f>
        <v>112860.3</v>
      </c>
      <c r="E82" s="105"/>
    </row>
    <row r="83" spans="1:5" s="24" customFormat="1" ht="47.25">
      <c r="A83" s="19"/>
      <c r="B83" s="19" t="s">
        <v>50</v>
      </c>
      <c r="C83" s="20" t="s">
        <v>38</v>
      </c>
      <c r="D83" s="100">
        <v>42197.5</v>
      </c>
      <c r="E83" s="105"/>
    </row>
    <row r="84" spans="1:5" ht="47.25">
      <c r="A84" s="23"/>
      <c r="B84" s="19" t="s">
        <v>45</v>
      </c>
      <c r="C84" s="20" t="s">
        <v>48</v>
      </c>
      <c r="D84" s="97">
        <v>70662.8</v>
      </c>
      <c r="E84" s="105"/>
    </row>
    <row r="85" spans="1:5" s="18" customFormat="1" ht="55.5" customHeight="1">
      <c r="A85" s="23" t="s">
        <v>158</v>
      </c>
      <c r="B85" s="16"/>
      <c r="C85" s="3" t="s">
        <v>102</v>
      </c>
      <c r="D85" s="96">
        <v>19134.5</v>
      </c>
      <c r="E85" s="105"/>
    </row>
    <row r="86" spans="1:5" ht="47.25">
      <c r="A86" s="19" t="s">
        <v>159</v>
      </c>
      <c r="B86" s="19" t="s">
        <v>41</v>
      </c>
      <c r="C86" s="61" t="s">
        <v>91</v>
      </c>
      <c r="D86" s="96">
        <v>370</v>
      </c>
      <c r="E86" s="105"/>
    </row>
    <row r="87" spans="1:5" ht="31.5">
      <c r="A87" s="27" t="s">
        <v>196</v>
      </c>
      <c r="B87" s="44" t="s">
        <v>42</v>
      </c>
      <c r="C87" s="45" t="s">
        <v>195</v>
      </c>
      <c r="D87" s="96">
        <v>5690</v>
      </c>
      <c r="E87" s="105"/>
    </row>
    <row r="88" spans="1:5" ht="47.25">
      <c r="A88" s="19"/>
      <c r="B88" s="19"/>
      <c r="C88" s="17" t="s">
        <v>103</v>
      </c>
      <c r="D88" s="96">
        <f>D89+D90+D91</f>
        <v>19292.1</v>
      </c>
      <c r="E88" s="105"/>
    </row>
    <row r="89" spans="1:5" ht="31.5">
      <c r="A89" s="19" t="s">
        <v>161</v>
      </c>
      <c r="B89" s="19" t="s">
        <v>42</v>
      </c>
      <c r="C89" s="20" t="s">
        <v>40</v>
      </c>
      <c r="D89" s="97">
        <v>8000</v>
      </c>
      <c r="E89" s="105"/>
    </row>
    <row r="90" spans="1:5" ht="15.75">
      <c r="A90" s="19" t="s">
        <v>162</v>
      </c>
      <c r="B90" s="19" t="s">
        <v>41</v>
      </c>
      <c r="C90" s="20" t="s">
        <v>43</v>
      </c>
      <c r="D90" s="97">
        <v>50.1</v>
      </c>
      <c r="E90" s="105"/>
    </row>
    <row r="91" spans="1:5" ht="47.25">
      <c r="A91" s="23" t="s">
        <v>163</v>
      </c>
      <c r="B91" s="16"/>
      <c r="C91" s="17" t="s">
        <v>59</v>
      </c>
      <c r="D91" s="99">
        <f>D92+D93+D94</f>
        <v>11242</v>
      </c>
      <c r="E91" s="105"/>
    </row>
    <row r="92" spans="1:5" ht="78.75">
      <c r="A92" s="19" t="s">
        <v>164</v>
      </c>
      <c r="B92" s="19" t="s">
        <v>42</v>
      </c>
      <c r="C92" s="20" t="s">
        <v>104</v>
      </c>
      <c r="D92" s="97">
        <v>8000</v>
      </c>
      <c r="E92" s="105"/>
    </row>
    <row r="93" spans="1:5" ht="15.75">
      <c r="A93" s="19" t="s">
        <v>165</v>
      </c>
      <c r="B93" s="19" t="s">
        <v>31</v>
      </c>
      <c r="C93" s="20" t="s">
        <v>76</v>
      </c>
      <c r="D93" s="97">
        <v>142</v>
      </c>
      <c r="E93" s="105"/>
    </row>
    <row r="94" spans="1:5" ht="63">
      <c r="A94" s="19" t="s">
        <v>166</v>
      </c>
      <c r="B94" s="19" t="s">
        <v>42</v>
      </c>
      <c r="C94" s="37" t="s">
        <v>99</v>
      </c>
      <c r="D94" s="97">
        <v>3100</v>
      </c>
      <c r="E94" s="105"/>
    </row>
    <row r="95" spans="1:5" ht="63">
      <c r="A95" s="16"/>
      <c r="B95" s="16"/>
      <c r="C95" s="17" t="s">
        <v>105</v>
      </c>
      <c r="D95" s="96">
        <f>D96+D97+D98+D99</f>
        <v>32016</v>
      </c>
      <c r="E95" s="105"/>
    </row>
    <row r="96" spans="1:5" ht="78.75">
      <c r="A96" s="19" t="s">
        <v>167</v>
      </c>
      <c r="B96" s="19" t="s">
        <v>42</v>
      </c>
      <c r="C96" s="20" t="s">
        <v>32</v>
      </c>
      <c r="D96" s="97">
        <v>18603</v>
      </c>
      <c r="E96" s="105"/>
    </row>
    <row r="97" spans="1:5" ht="94.5">
      <c r="A97" s="19" t="s">
        <v>167</v>
      </c>
      <c r="B97" s="19" t="s">
        <v>42</v>
      </c>
      <c r="C97" s="20" t="s">
        <v>60</v>
      </c>
      <c r="D97" s="97">
        <v>1918</v>
      </c>
      <c r="E97" s="105"/>
    </row>
    <row r="98" spans="1:5" ht="15.75">
      <c r="A98" s="19" t="s">
        <v>168</v>
      </c>
      <c r="B98" s="19" t="s">
        <v>47</v>
      </c>
      <c r="C98" s="20" t="s">
        <v>69</v>
      </c>
      <c r="D98" s="97">
        <v>0</v>
      </c>
      <c r="E98" s="105"/>
    </row>
    <row r="99" spans="1:5" ht="47.25">
      <c r="A99" s="19"/>
      <c r="B99" s="19"/>
      <c r="C99" s="3" t="s">
        <v>113</v>
      </c>
      <c r="D99" s="99">
        <f>D100+D101</f>
        <v>11495</v>
      </c>
      <c r="E99" s="105"/>
    </row>
    <row r="100" spans="1:5" ht="83.25" customHeight="1">
      <c r="A100" s="19" t="s">
        <v>169</v>
      </c>
      <c r="B100" s="19" t="s">
        <v>42</v>
      </c>
      <c r="C100" s="20" t="s">
        <v>65</v>
      </c>
      <c r="D100" s="97">
        <v>11195</v>
      </c>
      <c r="E100" s="105"/>
    </row>
    <row r="101" spans="1:5" s="24" customFormat="1" ht="15.75">
      <c r="A101" s="19" t="s">
        <v>170</v>
      </c>
      <c r="B101" s="19" t="s">
        <v>41</v>
      </c>
      <c r="C101" s="20" t="s">
        <v>43</v>
      </c>
      <c r="D101" s="97">
        <v>300</v>
      </c>
      <c r="E101" s="105"/>
    </row>
    <row r="102" spans="1:5" s="18" customFormat="1" ht="15.75">
      <c r="A102" s="16" t="s">
        <v>53</v>
      </c>
      <c r="B102" s="47"/>
      <c r="C102" s="15" t="s">
        <v>11</v>
      </c>
      <c r="D102" s="96">
        <f>SUM(D103)</f>
        <v>49.2</v>
      </c>
      <c r="E102" s="105"/>
    </row>
    <row r="103" spans="1:5" ht="94.5">
      <c r="A103" s="19" t="s">
        <v>204</v>
      </c>
      <c r="B103" s="19" t="s">
        <v>54</v>
      </c>
      <c r="C103" s="12" t="s">
        <v>28</v>
      </c>
      <c r="D103" s="97">
        <v>49.2</v>
      </c>
      <c r="E103" s="105"/>
    </row>
    <row r="104" spans="1:5" ht="31.5">
      <c r="A104" s="23" t="s">
        <v>12</v>
      </c>
      <c r="B104" s="23"/>
      <c r="C104" s="31" t="s">
        <v>13</v>
      </c>
      <c r="D104" s="96">
        <f>D105+D106+D107+D117+D122+D125</f>
        <v>127587.5</v>
      </c>
      <c r="E104" s="105"/>
    </row>
    <row r="105" spans="1:5" ht="126">
      <c r="A105" s="16" t="s">
        <v>172</v>
      </c>
      <c r="B105" s="16"/>
      <c r="C105" s="17" t="s">
        <v>203</v>
      </c>
      <c r="D105" s="96">
        <f>89389.2+321.9+401</f>
        <v>90112.1</v>
      </c>
      <c r="E105" s="105"/>
    </row>
    <row r="106" spans="1:5" ht="31.5">
      <c r="A106" s="111" t="s">
        <v>201</v>
      </c>
      <c r="B106" s="112">
        <v>262200</v>
      </c>
      <c r="C106" s="112" t="s">
        <v>202</v>
      </c>
      <c r="D106" s="113">
        <v>20000</v>
      </c>
      <c r="E106" s="105"/>
    </row>
    <row r="107" spans="1:5" ht="63">
      <c r="A107" s="19"/>
      <c r="B107" s="19"/>
      <c r="C107" s="17" t="s">
        <v>117</v>
      </c>
      <c r="D107" s="96">
        <f>SUM(D108:D116)</f>
        <v>9817.2</v>
      </c>
      <c r="E107" s="105"/>
    </row>
    <row r="108" spans="1:5" ht="31.5">
      <c r="A108" s="19" t="s">
        <v>213</v>
      </c>
      <c r="B108" s="19" t="s">
        <v>46</v>
      </c>
      <c r="C108" s="4" t="s">
        <v>61</v>
      </c>
      <c r="D108" s="97">
        <v>1530</v>
      </c>
      <c r="E108" s="105"/>
    </row>
    <row r="109" spans="1:5" ht="31.5">
      <c r="A109" s="19" t="s">
        <v>160</v>
      </c>
      <c r="B109" s="19" t="s">
        <v>46</v>
      </c>
      <c r="C109" s="4" t="s">
        <v>61</v>
      </c>
      <c r="D109" s="97">
        <v>3508.7</v>
      </c>
      <c r="E109" s="105"/>
    </row>
    <row r="110" spans="1:5" ht="15.75">
      <c r="A110" s="19" t="s">
        <v>160</v>
      </c>
      <c r="B110" s="19" t="s">
        <v>41</v>
      </c>
      <c r="C110" s="20" t="s">
        <v>43</v>
      </c>
      <c r="D110" s="97">
        <v>284.3</v>
      </c>
      <c r="E110" s="105"/>
    </row>
    <row r="111" spans="1:5" ht="94.5">
      <c r="A111" s="19" t="s">
        <v>160</v>
      </c>
      <c r="B111" s="19" t="s">
        <v>214</v>
      </c>
      <c r="C111" s="135" t="s">
        <v>220</v>
      </c>
      <c r="D111" s="97">
        <v>99.5</v>
      </c>
      <c r="E111" s="105"/>
    </row>
    <row r="112" spans="1:5" ht="31.5">
      <c r="A112" s="19" t="s">
        <v>160</v>
      </c>
      <c r="B112" s="19" t="s">
        <v>47</v>
      </c>
      <c r="C112" s="135" t="s">
        <v>55</v>
      </c>
      <c r="D112" s="97">
        <v>2400</v>
      </c>
      <c r="E112" s="105"/>
    </row>
    <row r="113" spans="1:7" ht="31.5">
      <c r="A113" s="19" t="s">
        <v>160</v>
      </c>
      <c r="B113" s="19" t="s">
        <v>215</v>
      </c>
      <c r="C113" s="135" t="s">
        <v>221</v>
      </c>
      <c r="D113" s="97">
        <v>216.2</v>
      </c>
      <c r="E113" s="105"/>
      <c r="G113" s="92">
        <f>D107+D117</f>
        <v>11881.9</v>
      </c>
    </row>
    <row r="114" spans="1:5" ht="15.75">
      <c r="A114" s="19" t="s">
        <v>216</v>
      </c>
      <c r="B114" s="19" t="s">
        <v>42</v>
      </c>
      <c r="C114" s="135" t="s">
        <v>222</v>
      </c>
      <c r="D114" s="97">
        <v>382.9</v>
      </c>
      <c r="E114" s="105"/>
    </row>
    <row r="115" spans="1:5" ht="15.75">
      <c r="A115" s="19" t="s">
        <v>160</v>
      </c>
      <c r="B115" s="19" t="s">
        <v>41</v>
      </c>
      <c r="C115" s="20" t="s">
        <v>43</v>
      </c>
      <c r="D115" s="97">
        <v>1214.2</v>
      </c>
      <c r="E115" s="105"/>
    </row>
    <row r="116" spans="1:5" ht="15.75">
      <c r="A116" s="19" t="s">
        <v>193</v>
      </c>
      <c r="B116" s="19" t="s">
        <v>41</v>
      </c>
      <c r="C116" s="20" t="s">
        <v>43</v>
      </c>
      <c r="D116" s="97">
        <v>181.4</v>
      </c>
      <c r="E116" s="105"/>
    </row>
    <row r="117" spans="1:5" ht="63">
      <c r="A117" s="19"/>
      <c r="B117" s="19"/>
      <c r="C117" s="17" t="s">
        <v>217</v>
      </c>
      <c r="D117" s="96">
        <f>D118+D119+D120+D121</f>
        <v>2064.7</v>
      </c>
      <c r="E117" s="105"/>
    </row>
    <row r="118" spans="1:5" ht="31.5">
      <c r="A118" s="19" t="s">
        <v>219</v>
      </c>
      <c r="B118" s="19" t="s">
        <v>46</v>
      </c>
      <c r="C118" s="4" t="s">
        <v>61</v>
      </c>
      <c r="D118" s="97">
        <v>460</v>
      </c>
      <c r="E118" s="105"/>
    </row>
    <row r="119" spans="1:5" ht="31.5">
      <c r="A119" s="19" t="s">
        <v>218</v>
      </c>
      <c r="B119" s="19" t="s">
        <v>46</v>
      </c>
      <c r="C119" s="4" t="s">
        <v>61</v>
      </c>
      <c r="D119" s="97">
        <v>1061.4</v>
      </c>
      <c r="E119" s="105"/>
    </row>
    <row r="120" spans="1:5" ht="15.75">
      <c r="A120" s="19" t="s">
        <v>218</v>
      </c>
      <c r="B120" s="19" t="s">
        <v>41</v>
      </c>
      <c r="C120" s="20" t="s">
        <v>43</v>
      </c>
      <c r="D120" s="97">
        <v>423.3</v>
      </c>
      <c r="E120" s="105"/>
    </row>
    <row r="121" spans="1:5" ht="31.5">
      <c r="A121" s="19" t="s">
        <v>218</v>
      </c>
      <c r="B121" s="19" t="s">
        <v>47</v>
      </c>
      <c r="C121" s="135" t="s">
        <v>221</v>
      </c>
      <c r="D121" s="97">
        <v>120</v>
      </c>
      <c r="E121" s="105"/>
    </row>
    <row r="122" spans="1:5" ht="31.5">
      <c r="A122" s="15"/>
      <c r="B122" s="11"/>
      <c r="C122" s="17" t="s">
        <v>70</v>
      </c>
      <c r="D122" s="95">
        <f>D123+D124</f>
        <v>3919.5</v>
      </c>
      <c r="E122" s="105"/>
    </row>
    <row r="123" spans="1:5" ht="31.5">
      <c r="A123" s="11" t="s">
        <v>173</v>
      </c>
      <c r="B123" s="11" t="s">
        <v>46</v>
      </c>
      <c r="C123" s="4" t="s">
        <v>61</v>
      </c>
      <c r="D123" s="102">
        <v>3644.4</v>
      </c>
      <c r="E123" s="105"/>
    </row>
    <row r="124" spans="1:5" ht="15.75">
      <c r="A124" s="11" t="s">
        <v>173</v>
      </c>
      <c r="B124" s="12">
        <v>226900</v>
      </c>
      <c r="C124" s="107" t="s">
        <v>197</v>
      </c>
      <c r="D124" s="103">
        <v>275.1</v>
      </c>
      <c r="E124" s="105"/>
    </row>
    <row r="125" spans="1:4" ht="31.5">
      <c r="A125" s="108"/>
      <c r="B125" s="108"/>
      <c r="C125" s="17" t="s">
        <v>198</v>
      </c>
      <c r="D125" s="110">
        <f>D126+D127</f>
        <v>1674</v>
      </c>
    </row>
    <row r="126" spans="1:4" ht="31.5">
      <c r="A126" s="11" t="s">
        <v>199</v>
      </c>
      <c r="B126" s="11" t="s">
        <v>46</v>
      </c>
      <c r="C126" s="4" t="s">
        <v>61</v>
      </c>
      <c r="D126" s="109">
        <v>1398.9</v>
      </c>
    </row>
    <row r="127" spans="1:4" ht="15.75">
      <c r="A127" s="11" t="s">
        <v>200</v>
      </c>
      <c r="B127" s="19" t="s">
        <v>41</v>
      </c>
      <c r="C127" s="20" t="s">
        <v>43</v>
      </c>
      <c r="D127" s="109">
        <v>275.1</v>
      </c>
    </row>
    <row r="128" spans="1:4" ht="15.75">
      <c r="A128" s="78"/>
      <c r="B128" s="79"/>
      <c r="C128" s="79"/>
      <c r="D128" s="80"/>
    </row>
    <row r="129" spans="1:4" ht="15.75">
      <c r="A129" s="78"/>
      <c r="B129" s="79"/>
      <c r="C129" s="79"/>
      <c r="D129" s="80"/>
    </row>
    <row r="130" ht="15.75">
      <c r="D130" s="56"/>
    </row>
  </sheetData>
  <sheetProtection/>
  <mergeCells count="1">
    <mergeCell ref="A3:D3"/>
  </mergeCells>
  <printOptions horizontalCentered="1"/>
  <pageMargins left="0.1968503937007874" right="0.1968503937007874" top="0.1968503937007874" bottom="0.1968503937007874" header="0.11811023622047245" footer="0.11811023622047245"/>
  <pageSetup fitToHeight="6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2:L119"/>
  <sheetViews>
    <sheetView view="pageBreakPreview" zoomScaleNormal="80" zoomScaleSheetLayoutView="100" zoomScalePageLayoutView="0" workbookViewId="0" topLeftCell="A1">
      <pane xSplit="4" ySplit="5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I21" sqref="I21"/>
    </sheetView>
  </sheetViews>
  <sheetFormatPr defaultColWidth="9.140625" defaultRowHeight="12.75"/>
  <cols>
    <col min="1" max="1" width="28.140625" style="5" customWidth="1"/>
    <col min="2" max="2" width="10.8515625" style="5" customWidth="1"/>
    <col min="3" max="3" width="43.28125" style="5" customWidth="1"/>
    <col min="4" max="4" width="15.57421875" style="32" customWidth="1"/>
    <col min="5" max="5" width="13.421875" style="8" customWidth="1"/>
    <col min="6" max="6" width="14.7109375" style="8" customWidth="1"/>
    <col min="7" max="7" width="16.00390625" style="5" customWidth="1"/>
    <col min="8" max="8" width="15.7109375" style="5" customWidth="1"/>
    <col min="9" max="9" width="13.421875" style="5" customWidth="1"/>
    <col min="10" max="10" width="13.57421875" style="5" customWidth="1"/>
    <col min="11" max="11" width="7.421875" style="5" customWidth="1"/>
    <col min="12" max="12" width="11.28125" style="5" customWidth="1"/>
    <col min="13" max="14" width="7.421875" style="5" customWidth="1"/>
    <col min="15" max="16384" width="9.140625" style="5" customWidth="1"/>
  </cols>
  <sheetData>
    <row r="2" spans="1:11" ht="44.25" customHeight="1">
      <c r="A2" s="170" t="s">
        <v>211</v>
      </c>
      <c r="B2" s="170"/>
      <c r="C2" s="170"/>
      <c r="D2" s="170"/>
      <c r="E2" s="170"/>
      <c r="F2" s="170"/>
      <c r="G2" s="170"/>
      <c r="H2" s="170"/>
      <c r="I2" s="170"/>
      <c r="J2" s="170"/>
      <c r="K2" s="36"/>
    </row>
    <row r="3" spans="1:10" s="8" customFormat="1" ht="15.75" customHeight="1">
      <c r="A3" s="171" t="s">
        <v>0</v>
      </c>
      <c r="B3" s="171" t="s">
        <v>17</v>
      </c>
      <c r="C3" s="171" t="s">
        <v>1</v>
      </c>
      <c r="D3" s="171" t="s">
        <v>120</v>
      </c>
      <c r="E3" s="171"/>
      <c r="F3" s="171"/>
      <c r="G3" s="171"/>
      <c r="H3" s="171"/>
      <c r="I3" s="171" t="s">
        <v>94</v>
      </c>
      <c r="J3" s="171" t="s">
        <v>98</v>
      </c>
    </row>
    <row r="4" spans="1:10" s="8" customFormat="1" ht="88.5" customHeight="1">
      <c r="A4" s="171"/>
      <c r="B4" s="171"/>
      <c r="C4" s="171"/>
      <c r="D4" s="6" t="s">
        <v>205</v>
      </c>
      <c r="E4" s="6" t="s">
        <v>95</v>
      </c>
      <c r="F4" s="6" t="s">
        <v>96</v>
      </c>
      <c r="G4" s="6" t="s">
        <v>209</v>
      </c>
      <c r="H4" s="6" t="s">
        <v>97</v>
      </c>
      <c r="I4" s="171"/>
      <c r="J4" s="171"/>
    </row>
    <row r="5" spans="1:10" s="8" customFormat="1" ht="15.75">
      <c r="A5" s="6">
        <v>1</v>
      </c>
      <c r="B5" s="6">
        <f aca="true" t="shared" si="0" ref="B5:H5">A5+1</f>
        <v>2</v>
      </c>
      <c r="C5" s="6">
        <f t="shared" si="0"/>
        <v>3</v>
      </c>
      <c r="D5" s="6">
        <f t="shared" si="0"/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7">
        <v>9</v>
      </c>
      <c r="J5" s="7">
        <v>10</v>
      </c>
    </row>
    <row r="6" spans="1:10" s="8" customFormat="1" ht="31.5">
      <c r="A6" s="6"/>
      <c r="B6" s="6"/>
      <c r="C6" s="9" t="s">
        <v>183</v>
      </c>
      <c r="D6" s="126">
        <f>D7+D10+D15+D20</f>
        <v>2294121.6</v>
      </c>
      <c r="E6" s="126">
        <f>E7+E10+E15+E20</f>
        <v>2195210.4</v>
      </c>
      <c r="F6" s="126">
        <f>F7+F10+F15+F20</f>
        <v>2195210.4</v>
      </c>
      <c r="G6" s="126">
        <f>G7+G10+G15+G20</f>
        <v>135304</v>
      </c>
      <c r="H6" s="126">
        <f>H7+H10+H15+H20</f>
        <v>2330514.4</v>
      </c>
      <c r="I6" s="62">
        <f>E6*100/D6</f>
        <v>96</v>
      </c>
      <c r="J6" s="62">
        <f>E6*100/H6</f>
        <v>94</v>
      </c>
    </row>
    <row r="7" spans="1:10" s="8" customFormat="1" ht="15.75">
      <c r="A7" s="9" t="s">
        <v>5</v>
      </c>
      <c r="B7" s="6"/>
      <c r="C7" s="9" t="s">
        <v>4</v>
      </c>
      <c r="D7" s="115">
        <f>D8+D9</f>
        <v>6416.6</v>
      </c>
      <c r="E7" s="115">
        <f>E8+E9</f>
        <v>6386.6</v>
      </c>
      <c r="F7" s="115">
        <f>F8+F9</f>
        <v>6386.6</v>
      </c>
      <c r="G7" s="115">
        <f>G8+G9</f>
        <v>0</v>
      </c>
      <c r="H7" s="115">
        <f>H8+H9</f>
        <v>6386.6</v>
      </c>
      <c r="I7" s="62">
        <f>E7*100/D7</f>
        <v>100</v>
      </c>
      <c r="J7" s="62">
        <f>E7*100/H7</f>
        <v>100</v>
      </c>
    </row>
    <row r="8" spans="1:10" s="13" customFormat="1" ht="87" customHeight="1">
      <c r="A8" s="11" t="s">
        <v>190</v>
      </c>
      <c r="B8" s="12">
        <v>242000</v>
      </c>
      <c r="C8" s="12" t="s">
        <v>189</v>
      </c>
      <c r="D8" s="116">
        <f>'РОСПИСЬ на 30062016'!D8/12*6</f>
        <v>6341.6</v>
      </c>
      <c r="E8" s="117">
        <v>6341.6</v>
      </c>
      <c r="F8" s="117">
        <v>6341.6</v>
      </c>
      <c r="G8" s="118">
        <v>0</v>
      </c>
      <c r="H8" s="119">
        <f>G8+E8</f>
        <v>6341.6</v>
      </c>
      <c r="I8" s="35">
        <f aca="true" t="shared" si="1" ref="I8:I72">E8*100/D8</f>
        <v>100</v>
      </c>
      <c r="J8" s="35">
        <f>E8*100/H8</f>
        <v>100</v>
      </c>
    </row>
    <row r="9" spans="1:10" s="13" customFormat="1" ht="57.75" customHeight="1">
      <c r="A9" s="11" t="s">
        <v>178</v>
      </c>
      <c r="B9" s="12">
        <v>290900</v>
      </c>
      <c r="C9" s="12" t="s">
        <v>181</v>
      </c>
      <c r="D9" s="116">
        <f>'РОСПИСЬ на 30062016'!D9/12*6</f>
        <v>75</v>
      </c>
      <c r="E9" s="117">
        <v>45</v>
      </c>
      <c r="F9" s="117">
        <v>45</v>
      </c>
      <c r="G9" s="118">
        <v>0</v>
      </c>
      <c r="H9" s="119">
        <f>G9+E9</f>
        <v>45</v>
      </c>
      <c r="I9" s="35">
        <f t="shared" si="1"/>
        <v>60</v>
      </c>
      <c r="J9" s="35">
        <f>E9*100/H9</f>
        <v>100</v>
      </c>
    </row>
    <row r="10" spans="1:10" s="13" customFormat="1" ht="15.75">
      <c r="A10" s="9" t="s">
        <v>6</v>
      </c>
      <c r="B10" s="9"/>
      <c r="C10" s="9" t="s">
        <v>7</v>
      </c>
      <c r="D10" s="115">
        <f>SUM(D11:D14)</f>
        <v>190.4</v>
      </c>
      <c r="E10" s="115">
        <f>SUM(E11:E14)</f>
        <v>17.4</v>
      </c>
      <c r="F10" s="115">
        <f>SUM(F11:F14)</f>
        <v>17.4</v>
      </c>
      <c r="G10" s="115">
        <f>SUM(G11:G14)</f>
        <v>75.5</v>
      </c>
      <c r="H10" s="115">
        <f>SUM(H11:H14)</f>
        <v>92.9</v>
      </c>
      <c r="I10" s="62">
        <f t="shared" si="1"/>
        <v>9</v>
      </c>
      <c r="J10" s="62">
        <f aca="true" t="shared" si="2" ref="J10:J77">E10*100/H10</f>
        <v>19</v>
      </c>
    </row>
    <row r="11" spans="1:10" s="13" customFormat="1" ht="31.5">
      <c r="A11" s="11" t="s">
        <v>123</v>
      </c>
      <c r="B11" s="12">
        <v>226900</v>
      </c>
      <c r="C11" s="12" t="s">
        <v>20</v>
      </c>
      <c r="D11" s="116">
        <f>'РОСПИСЬ на 30062016'!D11/12*6</f>
        <v>100</v>
      </c>
      <c r="E11" s="120">
        <v>0</v>
      </c>
      <c r="F11" s="120">
        <v>0</v>
      </c>
      <c r="G11" s="120">
        <v>45</v>
      </c>
      <c r="H11" s="119">
        <f>G11+E11</f>
        <v>45</v>
      </c>
      <c r="I11" s="35">
        <f t="shared" si="1"/>
        <v>0</v>
      </c>
      <c r="J11" s="35">
        <v>0</v>
      </c>
    </row>
    <row r="12" spans="1:10" s="14" customFormat="1" ht="32.25" customHeight="1">
      <c r="A12" s="11" t="s">
        <v>124</v>
      </c>
      <c r="B12" s="12">
        <v>212101</v>
      </c>
      <c r="C12" s="12" t="s">
        <v>58</v>
      </c>
      <c r="D12" s="116">
        <f>'РОСПИСЬ на 30062016'!D12/12*6</f>
        <v>20</v>
      </c>
      <c r="E12" s="117">
        <v>7.6</v>
      </c>
      <c r="F12" s="117">
        <v>7.6</v>
      </c>
      <c r="G12" s="118">
        <v>8.5</v>
      </c>
      <c r="H12" s="119">
        <f>G12+E12</f>
        <v>16.1</v>
      </c>
      <c r="I12" s="35">
        <f t="shared" si="1"/>
        <v>38</v>
      </c>
      <c r="J12" s="35">
        <v>0</v>
      </c>
    </row>
    <row r="13" spans="1:10" s="14" customFormat="1" ht="22.5" customHeight="1">
      <c r="A13" s="11" t="s">
        <v>125</v>
      </c>
      <c r="B13" s="12">
        <v>222101</v>
      </c>
      <c r="C13" s="12" t="s">
        <v>56</v>
      </c>
      <c r="D13" s="116">
        <f>'РОСПИСЬ на 30062016'!D13/12*6</f>
        <v>7.5</v>
      </c>
      <c r="E13" s="117">
        <v>6.9</v>
      </c>
      <c r="F13" s="117">
        <v>6.9</v>
      </c>
      <c r="G13" s="118">
        <v>0</v>
      </c>
      <c r="H13" s="119">
        <f>G13+E13</f>
        <v>6.9</v>
      </c>
      <c r="I13" s="35">
        <f t="shared" si="1"/>
        <v>92</v>
      </c>
      <c r="J13" s="35">
        <v>0</v>
      </c>
    </row>
    <row r="14" spans="1:10" s="14" customFormat="1" ht="47.25">
      <c r="A14" s="11" t="s">
        <v>124</v>
      </c>
      <c r="B14" s="12">
        <v>212103</v>
      </c>
      <c r="C14" s="12" t="s">
        <v>57</v>
      </c>
      <c r="D14" s="116">
        <f>'РОСПИСЬ на 30062016'!D14/12*6</f>
        <v>62.9</v>
      </c>
      <c r="E14" s="117">
        <v>2.9</v>
      </c>
      <c r="F14" s="117">
        <v>2.9</v>
      </c>
      <c r="G14" s="118">
        <v>22</v>
      </c>
      <c r="H14" s="119">
        <f>G14+E14</f>
        <v>24.9</v>
      </c>
      <c r="I14" s="35">
        <f t="shared" si="1"/>
        <v>5</v>
      </c>
      <c r="J14" s="35">
        <v>0</v>
      </c>
    </row>
    <row r="15" spans="1:10" s="14" customFormat="1" ht="47.25">
      <c r="A15" s="15"/>
      <c r="B15" s="9"/>
      <c r="C15" s="9" t="s">
        <v>112</v>
      </c>
      <c r="D15" s="115">
        <f>D16+D17+D18+D19</f>
        <v>29142.7</v>
      </c>
      <c r="E15" s="115">
        <f>E16+E17+E18+E19</f>
        <v>12427</v>
      </c>
      <c r="F15" s="115">
        <f>F16+F17+F18+F19</f>
        <v>12427</v>
      </c>
      <c r="G15" s="115">
        <f>G16+G17+G18+G19</f>
        <v>28242.2</v>
      </c>
      <c r="H15" s="115">
        <f>H16+H17+H18+H19</f>
        <v>40669.2</v>
      </c>
      <c r="I15" s="62">
        <f>E15*100/D15</f>
        <v>43</v>
      </c>
      <c r="J15" s="62">
        <f t="shared" si="2"/>
        <v>31</v>
      </c>
    </row>
    <row r="16" spans="1:10" s="14" customFormat="1" ht="31.5">
      <c r="A16" s="11" t="s">
        <v>127</v>
      </c>
      <c r="B16" s="12">
        <v>226900</v>
      </c>
      <c r="C16" s="12" t="s">
        <v>30</v>
      </c>
      <c r="D16" s="116">
        <f>'РОСПИСЬ на 30062016'!D16/12*6</f>
        <v>23195.4</v>
      </c>
      <c r="E16" s="120">
        <v>12395.4</v>
      </c>
      <c r="F16" s="120">
        <v>12395.4</v>
      </c>
      <c r="G16" s="120">
        <f>20185.1+2703+87.11+614.42</f>
        <v>23589.6</v>
      </c>
      <c r="H16" s="119">
        <f aca="true" t="shared" si="3" ref="H16:H83">G16+E16</f>
        <v>35985</v>
      </c>
      <c r="I16" s="35">
        <f t="shared" si="1"/>
        <v>53</v>
      </c>
      <c r="J16" s="35">
        <f t="shared" si="2"/>
        <v>34</v>
      </c>
    </row>
    <row r="17" spans="1:10" s="14" customFormat="1" ht="15.75">
      <c r="A17" s="11" t="s">
        <v>128</v>
      </c>
      <c r="B17" s="12">
        <v>262200</v>
      </c>
      <c r="C17" s="12" t="s">
        <v>68</v>
      </c>
      <c r="D17" s="116">
        <v>31.6</v>
      </c>
      <c r="E17" s="117">
        <v>31.6</v>
      </c>
      <c r="F17" s="117">
        <v>31.6</v>
      </c>
      <c r="G17" s="118">
        <v>0</v>
      </c>
      <c r="H17" s="119">
        <f t="shared" si="3"/>
        <v>31.6</v>
      </c>
      <c r="I17" s="35">
        <f t="shared" si="1"/>
        <v>100</v>
      </c>
      <c r="J17" s="35">
        <f t="shared" si="2"/>
        <v>100</v>
      </c>
    </row>
    <row r="18" spans="1:10" s="14" customFormat="1" ht="48.75" customHeight="1">
      <c r="A18" s="11" t="s">
        <v>126</v>
      </c>
      <c r="B18" s="12">
        <v>251000</v>
      </c>
      <c r="C18" s="12" t="s">
        <v>30</v>
      </c>
      <c r="D18" s="116">
        <f>'РОСПИСЬ на 30062016'!D18/12*6</f>
        <v>5915.7</v>
      </c>
      <c r="E18" s="117">
        <v>0</v>
      </c>
      <c r="F18" s="117">
        <v>0</v>
      </c>
      <c r="G18" s="118">
        <v>4652.6</v>
      </c>
      <c r="H18" s="119">
        <f t="shared" si="3"/>
        <v>4652.6</v>
      </c>
      <c r="I18" s="35">
        <f>E18*100/D18</f>
        <v>0</v>
      </c>
      <c r="J18" s="35">
        <f>E18*100/H18</f>
        <v>0</v>
      </c>
    </row>
    <row r="19" spans="1:10" s="14" customFormat="1" ht="47.25">
      <c r="A19" s="11" t="s">
        <v>191</v>
      </c>
      <c r="B19" s="12">
        <v>226900</v>
      </c>
      <c r="C19" s="12" t="s">
        <v>192</v>
      </c>
      <c r="D19" s="116">
        <v>0</v>
      </c>
      <c r="E19" s="117">
        <v>0</v>
      </c>
      <c r="F19" s="117">
        <v>0</v>
      </c>
      <c r="G19" s="118">
        <v>0</v>
      </c>
      <c r="H19" s="119">
        <f t="shared" si="3"/>
        <v>0</v>
      </c>
      <c r="I19" s="35">
        <v>0</v>
      </c>
      <c r="J19" s="35">
        <v>0</v>
      </c>
    </row>
    <row r="20" spans="1:10" s="14" customFormat="1" ht="15.75">
      <c r="A20" s="2" t="s">
        <v>92</v>
      </c>
      <c r="B20" s="33"/>
      <c r="C20" s="1" t="s">
        <v>93</v>
      </c>
      <c r="D20" s="115">
        <f>D21+D24+D59+D106+D49</f>
        <v>2258371.9</v>
      </c>
      <c r="E20" s="115">
        <f>E21+E24+E59+E106+E49</f>
        <v>2176379.4</v>
      </c>
      <c r="F20" s="115">
        <f>F21+F24+F59+F106+F49</f>
        <v>2176379.4</v>
      </c>
      <c r="G20" s="115">
        <f>G21+G24+G59+G106+G49</f>
        <v>106986.3</v>
      </c>
      <c r="H20" s="115">
        <f>H21+H24+H59+H106+H49</f>
        <v>2283365.7</v>
      </c>
      <c r="I20" s="62">
        <f t="shared" si="1"/>
        <v>96</v>
      </c>
      <c r="J20" s="62">
        <f t="shared" si="2"/>
        <v>95</v>
      </c>
    </row>
    <row r="21" spans="1:10" s="14" customFormat="1" ht="47.25">
      <c r="A21" s="16" t="s">
        <v>62</v>
      </c>
      <c r="B21" s="16"/>
      <c r="C21" s="17" t="s">
        <v>21</v>
      </c>
      <c r="D21" s="121">
        <f>SUM(D22:D23)</f>
        <v>126860.7</v>
      </c>
      <c r="E21" s="121">
        <f>SUM(E22:E23)</f>
        <v>130998.7</v>
      </c>
      <c r="F21" s="121">
        <f>SUM(F22:F23)</f>
        <v>130998.7</v>
      </c>
      <c r="G21" s="121">
        <f>SUM(G22:G23)</f>
        <v>0</v>
      </c>
      <c r="H21" s="121">
        <f>SUM(H22:H23)</f>
        <v>130998.7</v>
      </c>
      <c r="I21" s="62">
        <f t="shared" si="1"/>
        <v>103</v>
      </c>
      <c r="J21" s="62">
        <f t="shared" si="2"/>
        <v>100</v>
      </c>
    </row>
    <row r="22" spans="1:10" s="14" customFormat="1" ht="47.25">
      <c r="A22" s="19" t="s">
        <v>129</v>
      </c>
      <c r="B22" s="19" t="s">
        <v>44</v>
      </c>
      <c r="C22" s="20" t="s">
        <v>63</v>
      </c>
      <c r="D22" s="116">
        <f>'РОСПИСЬ на 30062016'!D22/12*7</f>
        <v>78318.2</v>
      </c>
      <c r="E22" s="122">
        <v>78429.3</v>
      </c>
      <c r="F22" s="117">
        <v>78429.3</v>
      </c>
      <c r="G22" s="118">
        <v>0</v>
      </c>
      <c r="H22" s="119">
        <f t="shared" si="3"/>
        <v>78429.3</v>
      </c>
      <c r="I22" s="35">
        <f t="shared" si="1"/>
        <v>100</v>
      </c>
      <c r="J22" s="35">
        <f t="shared" si="2"/>
        <v>100</v>
      </c>
    </row>
    <row r="23" spans="1:10" s="14" customFormat="1" ht="50.25" customHeight="1">
      <c r="A23" s="19" t="s">
        <v>130</v>
      </c>
      <c r="B23" s="19" t="s">
        <v>44</v>
      </c>
      <c r="C23" s="20" t="s">
        <v>64</v>
      </c>
      <c r="D23" s="116">
        <f>'РОСПИСЬ на 30062016'!D23/12*6</f>
        <v>48542.5</v>
      </c>
      <c r="E23" s="122">
        <v>52569.4</v>
      </c>
      <c r="F23" s="120">
        <v>52569.4</v>
      </c>
      <c r="G23" s="115">
        <v>0</v>
      </c>
      <c r="H23" s="119">
        <f t="shared" si="3"/>
        <v>52569.4</v>
      </c>
      <c r="I23" s="35">
        <f t="shared" si="1"/>
        <v>108</v>
      </c>
      <c r="J23" s="35">
        <f t="shared" si="2"/>
        <v>100</v>
      </c>
    </row>
    <row r="24" spans="1:10" s="18" customFormat="1" ht="15.75">
      <c r="A24" s="16" t="s">
        <v>71</v>
      </c>
      <c r="B24" s="16"/>
      <c r="C24" s="17" t="s">
        <v>72</v>
      </c>
      <c r="D24" s="115">
        <f>D25+D36+D47</f>
        <v>447356</v>
      </c>
      <c r="E24" s="115">
        <f>E25+E36+E47</f>
        <v>397088</v>
      </c>
      <c r="F24" s="115">
        <f>F25+F36+F47</f>
        <v>397088</v>
      </c>
      <c r="G24" s="115">
        <f>G25+G36+G47</f>
        <v>14574.1</v>
      </c>
      <c r="H24" s="115">
        <f>H25+H36+H47</f>
        <v>411662.1</v>
      </c>
      <c r="I24" s="62">
        <f t="shared" si="1"/>
        <v>89</v>
      </c>
      <c r="J24" s="62">
        <f t="shared" si="2"/>
        <v>96</v>
      </c>
    </row>
    <row r="25" spans="1:10" s="18" customFormat="1" ht="31.5">
      <c r="A25" s="16" t="s">
        <v>131</v>
      </c>
      <c r="B25" s="16"/>
      <c r="C25" s="3" t="s">
        <v>73</v>
      </c>
      <c r="D25" s="115">
        <f>D26+D34+D35</f>
        <v>156364.6</v>
      </c>
      <c r="E25" s="115">
        <f>E26+E34+E35</f>
        <v>135611</v>
      </c>
      <c r="F25" s="115">
        <f>F26+F34+F35</f>
        <v>135611</v>
      </c>
      <c r="G25" s="115">
        <f>G26+G34+G35</f>
        <v>5713.8</v>
      </c>
      <c r="H25" s="115">
        <f>H26+H34+H35</f>
        <v>141324.8</v>
      </c>
      <c r="I25" s="62">
        <f t="shared" si="1"/>
        <v>87</v>
      </c>
      <c r="J25" s="62">
        <f t="shared" si="2"/>
        <v>96</v>
      </c>
    </row>
    <row r="26" spans="1:10" s="18" customFormat="1" ht="31.5">
      <c r="A26" s="44"/>
      <c r="B26" s="44"/>
      <c r="C26" s="42" t="s">
        <v>74</v>
      </c>
      <c r="D26" s="123">
        <f>D27+D28+D29+D30+D31+D32+D33</f>
        <v>112928.5</v>
      </c>
      <c r="E26" s="123">
        <f>E27+E28+E29+E30+E31+E32+E33</f>
        <v>112405.8</v>
      </c>
      <c r="F26" s="123">
        <f>F27+F28+F29+F30+F31+F32+F33</f>
        <v>112405.8</v>
      </c>
      <c r="G26" s="123">
        <f>G27+G28+G29+G30+G31+G32+G33</f>
        <v>5713.8</v>
      </c>
      <c r="H26" s="123">
        <f>H27+H28+H29+H30+H31+H32+H33</f>
        <v>118119.6</v>
      </c>
      <c r="I26" s="35">
        <f t="shared" si="1"/>
        <v>100</v>
      </c>
      <c r="J26" s="35">
        <f t="shared" si="2"/>
        <v>95</v>
      </c>
    </row>
    <row r="27" spans="1:10" s="18" customFormat="1" ht="15.75">
      <c r="A27" s="38" t="s">
        <v>132</v>
      </c>
      <c r="B27" s="41" t="s">
        <v>75</v>
      </c>
      <c r="C27" s="39" t="s">
        <v>86</v>
      </c>
      <c r="D27" s="116">
        <f>'РОСПИСЬ на 30062016'!D27/12*6.56</f>
        <v>85591.4</v>
      </c>
      <c r="E27" s="120">
        <v>85536.4</v>
      </c>
      <c r="F27" s="120">
        <v>85536.4</v>
      </c>
      <c r="G27" s="120">
        <v>0</v>
      </c>
      <c r="H27" s="119">
        <f t="shared" si="3"/>
        <v>85536.4</v>
      </c>
      <c r="I27" s="35">
        <f t="shared" si="1"/>
        <v>100</v>
      </c>
      <c r="J27" s="35">
        <f t="shared" si="2"/>
        <v>100</v>
      </c>
    </row>
    <row r="28" spans="1:10" s="18" customFormat="1" ht="15.75">
      <c r="A28" s="38"/>
      <c r="B28" s="41" t="s">
        <v>31</v>
      </c>
      <c r="C28" s="39" t="s">
        <v>76</v>
      </c>
      <c r="D28" s="116">
        <f>'РОСПИСЬ на 30062016'!D28/12*6</f>
        <v>272.9</v>
      </c>
      <c r="E28" s="120">
        <v>173.1</v>
      </c>
      <c r="F28" s="120">
        <v>173.1</v>
      </c>
      <c r="G28" s="123">
        <v>0</v>
      </c>
      <c r="H28" s="119">
        <f t="shared" si="3"/>
        <v>173.1</v>
      </c>
      <c r="I28" s="35">
        <f t="shared" si="1"/>
        <v>63</v>
      </c>
      <c r="J28" s="35">
        <f t="shared" si="2"/>
        <v>100</v>
      </c>
    </row>
    <row r="29" spans="1:10" s="18" customFormat="1" ht="15.75">
      <c r="A29" s="38"/>
      <c r="B29" s="41" t="s">
        <v>77</v>
      </c>
      <c r="C29" s="39" t="s">
        <v>78</v>
      </c>
      <c r="D29" s="116">
        <f>'РОСПИСЬ на 30062016'!D29/12*6</f>
        <v>11180.2</v>
      </c>
      <c r="E29" s="120">
        <v>11099.2</v>
      </c>
      <c r="F29" s="120">
        <v>11099.2</v>
      </c>
      <c r="G29" s="123">
        <v>989.1</v>
      </c>
      <c r="H29" s="119">
        <f t="shared" si="3"/>
        <v>12088.3</v>
      </c>
      <c r="I29" s="35">
        <f t="shared" si="1"/>
        <v>99</v>
      </c>
      <c r="J29" s="35">
        <f t="shared" si="2"/>
        <v>92</v>
      </c>
    </row>
    <row r="30" spans="1:10" s="18" customFormat="1" ht="15.75">
      <c r="A30" s="38"/>
      <c r="B30" s="41" t="s">
        <v>79</v>
      </c>
      <c r="C30" s="39" t="s">
        <v>80</v>
      </c>
      <c r="D30" s="116">
        <f>'РОСПИСЬ на 30062016'!D30/12*6</f>
        <v>9203.1</v>
      </c>
      <c r="E30" s="117">
        <v>9429.5</v>
      </c>
      <c r="F30" s="117">
        <v>9429.5</v>
      </c>
      <c r="G30" s="117">
        <v>2336.7</v>
      </c>
      <c r="H30" s="119">
        <f t="shared" si="3"/>
        <v>11766.2</v>
      </c>
      <c r="I30" s="35">
        <f t="shared" si="1"/>
        <v>102</v>
      </c>
      <c r="J30" s="35">
        <f t="shared" si="2"/>
        <v>80</v>
      </c>
    </row>
    <row r="31" spans="1:10" s="18" customFormat="1" ht="15.75">
      <c r="A31" s="38"/>
      <c r="B31" s="41" t="s">
        <v>81</v>
      </c>
      <c r="C31" s="39" t="s">
        <v>82</v>
      </c>
      <c r="D31" s="116">
        <f>'РОСПИСЬ на 30062016'!D31/12*6</f>
        <v>555.7</v>
      </c>
      <c r="E31" s="117">
        <v>161.1</v>
      </c>
      <c r="F31" s="117">
        <v>161.1</v>
      </c>
      <c r="G31" s="117">
        <v>107.3</v>
      </c>
      <c r="H31" s="119">
        <f t="shared" si="3"/>
        <v>268.4</v>
      </c>
      <c r="I31" s="35">
        <f t="shared" si="1"/>
        <v>29</v>
      </c>
      <c r="J31" s="35">
        <f t="shared" si="2"/>
        <v>60</v>
      </c>
    </row>
    <row r="32" spans="1:10" s="18" customFormat="1" ht="15.75">
      <c r="A32" s="38"/>
      <c r="B32" s="41" t="s">
        <v>83</v>
      </c>
      <c r="C32" s="39" t="s">
        <v>84</v>
      </c>
      <c r="D32" s="116">
        <f>'РОСПИСЬ на 30062016'!D32/12*6</f>
        <v>4381.2</v>
      </c>
      <c r="E32" s="117">
        <v>4943.4</v>
      </c>
      <c r="F32" s="117">
        <v>4943.4</v>
      </c>
      <c r="G32" s="117">
        <v>2029.8</v>
      </c>
      <c r="H32" s="119">
        <f t="shared" si="3"/>
        <v>6973.2</v>
      </c>
      <c r="I32" s="35">
        <f t="shared" si="1"/>
        <v>113</v>
      </c>
      <c r="J32" s="35">
        <f t="shared" si="2"/>
        <v>71</v>
      </c>
    </row>
    <row r="33" spans="1:10" s="18" customFormat="1" ht="15.75">
      <c r="A33" s="38"/>
      <c r="B33" s="41"/>
      <c r="C33" s="39" t="s">
        <v>85</v>
      </c>
      <c r="D33" s="116">
        <f>'РОСПИСЬ на 30062016'!D33/12*6</f>
        <v>1744</v>
      </c>
      <c r="E33" s="117">
        <v>1063.1</v>
      </c>
      <c r="F33" s="117">
        <v>1063.1</v>
      </c>
      <c r="G33" s="117">
        <v>250.9</v>
      </c>
      <c r="H33" s="119">
        <f t="shared" si="3"/>
        <v>1314</v>
      </c>
      <c r="I33" s="35">
        <f t="shared" si="1"/>
        <v>61</v>
      </c>
      <c r="J33" s="35">
        <f t="shared" si="2"/>
        <v>81</v>
      </c>
    </row>
    <row r="34" spans="1:10" s="18" customFormat="1" ht="15.75">
      <c r="A34" s="27" t="s">
        <v>133</v>
      </c>
      <c r="B34" s="27"/>
      <c r="C34" s="28" t="s">
        <v>87</v>
      </c>
      <c r="D34" s="116">
        <f>'РОСПИСЬ на 30062016'!D34/12*6</f>
        <v>1076.2</v>
      </c>
      <c r="E34" s="117">
        <v>0</v>
      </c>
      <c r="F34" s="117">
        <v>0</v>
      </c>
      <c r="G34" s="117">
        <v>0</v>
      </c>
      <c r="H34" s="119">
        <f t="shared" si="3"/>
        <v>0</v>
      </c>
      <c r="I34" s="35">
        <f t="shared" si="1"/>
        <v>0</v>
      </c>
      <c r="J34" s="35">
        <v>0</v>
      </c>
    </row>
    <row r="35" spans="1:12" s="18" customFormat="1" ht="31.5">
      <c r="A35" s="27" t="s">
        <v>134</v>
      </c>
      <c r="B35" s="27"/>
      <c r="C35" s="28" t="s">
        <v>88</v>
      </c>
      <c r="D35" s="116">
        <f>'РОСПИСЬ на 30062016'!D35/12*6</f>
        <v>42359.9</v>
      </c>
      <c r="E35" s="117">
        <v>23205.2</v>
      </c>
      <c r="F35" s="117">
        <v>23205.2</v>
      </c>
      <c r="G35" s="124">
        <v>0</v>
      </c>
      <c r="H35" s="119">
        <f>G35+E35</f>
        <v>23205.2</v>
      </c>
      <c r="I35" s="35">
        <f t="shared" si="1"/>
        <v>55</v>
      </c>
      <c r="J35" s="35">
        <f t="shared" si="2"/>
        <v>100</v>
      </c>
      <c r="L35" s="94">
        <f>G24+G49</f>
        <v>21942.7</v>
      </c>
    </row>
    <row r="36" spans="1:10" s="18" customFormat="1" ht="31.5">
      <c r="A36" s="44" t="s">
        <v>131</v>
      </c>
      <c r="B36" s="44"/>
      <c r="C36" s="28" t="s">
        <v>89</v>
      </c>
      <c r="D36" s="115">
        <f>D37+D45+D46</f>
        <v>290991.4</v>
      </c>
      <c r="E36" s="115">
        <f>E37+E45+E46</f>
        <v>261477</v>
      </c>
      <c r="F36" s="115">
        <f>F37+F45+F46</f>
        <v>261477</v>
      </c>
      <c r="G36" s="115">
        <f>G37+G45+G46</f>
        <v>8860.3</v>
      </c>
      <c r="H36" s="115">
        <f>H37+H45+H46</f>
        <v>270337.3</v>
      </c>
      <c r="I36" s="62">
        <f t="shared" si="1"/>
        <v>90</v>
      </c>
      <c r="J36" s="62">
        <f t="shared" si="2"/>
        <v>97</v>
      </c>
    </row>
    <row r="37" spans="1:10" s="18" customFormat="1" ht="31.5">
      <c r="A37" s="44"/>
      <c r="B37" s="44"/>
      <c r="C37" s="42" t="s">
        <v>74</v>
      </c>
      <c r="D37" s="123">
        <f>D38+D39+D40+D41+D42+D43+D44</f>
        <v>268696.5</v>
      </c>
      <c r="E37" s="123">
        <f>E38+E39+E40+E41+E42+E43+E44</f>
        <v>251271.8</v>
      </c>
      <c r="F37" s="123">
        <f>F38+F39+F40+F41+F42+F43+F44</f>
        <v>251271.8</v>
      </c>
      <c r="G37" s="123">
        <f>G38+G39+G40+G41+G42+G43+G44</f>
        <v>8860.3</v>
      </c>
      <c r="H37" s="123">
        <f>H38+H39+H40+H41+H42+H43+H44</f>
        <v>260132.1</v>
      </c>
      <c r="I37" s="35">
        <f t="shared" si="1"/>
        <v>94</v>
      </c>
      <c r="J37" s="35">
        <f t="shared" si="2"/>
        <v>97</v>
      </c>
    </row>
    <row r="38" spans="1:10" s="18" customFormat="1" ht="15.75">
      <c r="A38" s="48" t="s">
        <v>132</v>
      </c>
      <c r="B38" s="41" t="s">
        <v>75</v>
      </c>
      <c r="C38" s="39" t="s">
        <v>90</v>
      </c>
      <c r="D38" s="116">
        <f>'РОСПИСЬ на 30062016'!D38/12*6</f>
        <v>218595.7</v>
      </c>
      <c r="E38" s="120">
        <v>213445.5</v>
      </c>
      <c r="F38" s="120">
        <v>213445.5</v>
      </c>
      <c r="G38" s="123">
        <v>0</v>
      </c>
      <c r="H38" s="119">
        <f t="shared" si="3"/>
        <v>213445.5</v>
      </c>
      <c r="I38" s="35">
        <f t="shared" si="1"/>
        <v>98</v>
      </c>
      <c r="J38" s="35">
        <f t="shared" si="2"/>
        <v>100</v>
      </c>
    </row>
    <row r="39" spans="1:10" s="18" customFormat="1" ht="15.75">
      <c r="A39" s="44"/>
      <c r="B39" s="41" t="s">
        <v>31</v>
      </c>
      <c r="C39" s="39" t="s">
        <v>76</v>
      </c>
      <c r="D39" s="116">
        <f>'РОСПИСЬ на 30062016'!D39/12*6</f>
        <v>1082.6</v>
      </c>
      <c r="E39" s="120">
        <v>1119.2</v>
      </c>
      <c r="F39" s="120">
        <v>1119.2</v>
      </c>
      <c r="G39" s="120">
        <v>53.4</v>
      </c>
      <c r="H39" s="119">
        <f t="shared" si="3"/>
        <v>1172.6</v>
      </c>
      <c r="I39" s="35">
        <f t="shared" si="1"/>
        <v>103</v>
      </c>
      <c r="J39" s="35">
        <f t="shared" si="2"/>
        <v>95</v>
      </c>
    </row>
    <row r="40" spans="1:10" s="18" customFormat="1" ht="15.75">
      <c r="A40" s="44"/>
      <c r="B40" s="41" t="s">
        <v>77</v>
      </c>
      <c r="C40" s="39" t="s">
        <v>78</v>
      </c>
      <c r="D40" s="116">
        <f>'РОСПИСЬ на 30062016'!D40/12*6</f>
        <v>10745</v>
      </c>
      <c r="E40" s="117">
        <v>9257</v>
      </c>
      <c r="F40" s="117">
        <v>9257</v>
      </c>
      <c r="G40" s="123">
        <v>457.2</v>
      </c>
      <c r="H40" s="119">
        <f t="shared" si="3"/>
        <v>9714.2</v>
      </c>
      <c r="I40" s="35">
        <f t="shared" si="1"/>
        <v>86</v>
      </c>
      <c r="J40" s="35">
        <f t="shared" si="2"/>
        <v>95</v>
      </c>
    </row>
    <row r="41" spans="1:10" s="43" customFormat="1" ht="15.75">
      <c r="A41" s="44"/>
      <c r="B41" s="41" t="s">
        <v>79</v>
      </c>
      <c r="C41" s="39" t="s">
        <v>80</v>
      </c>
      <c r="D41" s="116">
        <f>'РОСПИСЬ на 30062016'!D41/12*6</f>
        <v>19524.3</v>
      </c>
      <c r="E41" s="117">
        <v>15246.9</v>
      </c>
      <c r="F41" s="117">
        <v>15246.9</v>
      </c>
      <c r="G41" s="123">
        <v>4798.2</v>
      </c>
      <c r="H41" s="125">
        <f t="shared" si="3"/>
        <v>20045.1</v>
      </c>
      <c r="I41" s="35">
        <f t="shared" si="1"/>
        <v>78</v>
      </c>
      <c r="J41" s="35">
        <f t="shared" si="2"/>
        <v>76</v>
      </c>
    </row>
    <row r="42" spans="1:10" s="18" customFormat="1" ht="15.75">
      <c r="A42" s="44"/>
      <c r="B42" s="41" t="s">
        <v>81</v>
      </c>
      <c r="C42" s="39" t="s">
        <v>82</v>
      </c>
      <c r="D42" s="116">
        <f>'РОСПИСЬ на 30062016'!D42/12*6</f>
        <v>1654</v>
      </c>
      <c r="E42" s="117">
        <v>1973.1</v>
      </c>
      <c r="F42" s="117">
        <v>1973.1</v>
      </c>
      <c r="G42" s="117">
        <v>109.3</v>
      </c>
      <c r="H42" s="119">
        <f t="shared" si="3"/>
        <v>2082.4</v>
      </c>
      <c r="I42" s="35">
        <f t="shared" si="1"/>
        <v>119</v>
      </c>
      <c r="J42" s="35">
        <f t="shared" si="2"/>
        <v>95</v>
      </c>
    </row>
    <row r="43" spans="1:10" s="18" customFormat="1" ht="15.75">
      <c r="A43" s="44"/>
      <c r="B43" s="41" t="s">
        <v>83</v>
      </c>
      <c r="C43" s="39" t="s">
        <v>84</v>
      </c>
      <c r="D43" s="116">
        <f>'РОСПИСЬ на 30062016'!D43/12*6</f>
        <v>3920.7</v>
      </c>
      <c r="E43" s="117">
        <v>2605.5</v>
      </c>
      <c r="F43" s="117">
        <v>2605.5</v>
      </c>
      <c r="G43" s="117">
        <v>6.4</v>
      </c>
      <c r="H43" s="119">
        <f>G43+E43</f>
        <v>2611.9</v>
      </c>
      <c r="I43" s="35">
        <f t="shared" si="1"/>
        <v>66</v>
      </c>
      <c r="J43" s="35">
        <f t="shared" si="2"/>
        <v>100</v>
      </c>
    </row>
    <row r="44" spans="1:10" s="18" customFormat="1" ht="15.75">
      <c r="A44" s="44"/>
      <c r="B44" s="41"/>
      <c r="C44" s="39" t="s">
        <v>85</v>
      </c>
      <c r="D44" s="116">
        <f>'РОСПИСЬ на 30062016'!D44/12*6</f>
        <v>13174.2</v>
      </c>
      <c r="E44" s="117">
        <v>7624.6</v>
      </c>
      <c r="F44" s="117">
        <v>7624.6</v>
      </c>
      <c r="G44" s="117">
        <v>3435.8</v>
      </c>
      <c r="H44" s="119">
        <f t="shared" si="3"/>
        <v>11060.4</v>
      </c>
      <c r="I44" s="35">
        <f t="shared" si="1"/>
        <v>58</v>
      </c>
      <c r="J44" s="35">
        <f t="shared" si="2"/>
        <v>69</v>
      </c>
    </row>
    <row r="45" spans="1:10" s="18" customFormat="1" ht="15.75">
      <c r="A45" s="27" t="s">
        <v>133</v>
      </c>
      <c r="B45" s="27"/>
      <c r="C45" s="28" t="s">
        <v>87</v>
      </c>
      <c r="D45" s="116">
        <f>'РОСПИСЬ на 30062016'!D45/12*6</f>
        <v>18419.8</v>
      </c>
      <c r="E45" s="117">
        <v>7684.2</v>
      </c>
      <c r="F45" s="117">
        <v>7684.2</v>
      </c>
      <c r="G45" s="117">
        <v>0</v>
      </c>
      <c r="H45" s="119">
        <f t="shared" si="3"/>
        <v>7684.2</v>
      </c>
      <c r="I45" s="35">
        <f t="shared" si="1"/>
        <v>42</v>
      </c>
      <c r="J45" s="35">
        <f t="shared" si="2"/>
        <v>100</v>
      </c>
    </row>
    <row r="46" spans="1:10" s="18" customFormat="1" ht="31.5">
      <c r="A46" s="27" t="s">
        <v>133</v>
      </c>
      <c r="B46" s="27"/>
      <c r="C46" s="28" t="s">
        <v>88</v>
      </c>
      <c r="D46" s="116">
        <f>'РОСПИСЬ на 30062016'!D46/12*6</f>
        <v>3875.1</v>
      </c>
      <c r="E46" s="117">
        <v>2521</v>
      </c>
      <c r="F46" s="117">
        <v>2521</v>
      </c>
      <c r="G46" s="117">
        <v>0</v>
      </c>
      <c r="H46" s="119">
        <f t="shared" si="3"/>
        <v>2521</v>
      </c>
      <c r="I46" s="35">
        <f t="shared" si="1"/>
        <v>65</v>
      </c>
      <c r="J46" s="35">
        <f t="shared" si="2"/>
        <v>100</v>
      </c>
    </row>
    <row r="47" spans="1:10" s="18" customFormat="1" ht="63">
      <c r="A47" s="19"/>
      <c r="B47" s="19"/>
      <c r="C47" s="17" t="s">
        <v>117</v>
      </c>
      <c r="D47" s="126">
        <f>D48</f>
        <v>0</v>
      </c>
      <c r="E47" s="126">
        <f>E48</f>
        <v>0</v>
      </c>
      <c r="F47" s="126">
        <f>F48</f>
        <v>0</v>
      </c>
      <c r="G47" s="126">
        <f>G48</f>
        <v>0</v>
      </c>
      <c r="H47" s="126">
        <f>H48</f>
        <v>0</v>
      </c>
      <c r="I47" s="35">
        <v>0</v>
      </c>
      <c r="J47" s="35">
        <v>0</v>
      </c>
    </row>
    <row r="48" spans="1:10" s="18" customFormat="1" ht="15.75">
      <c r="A48" s="19" t="s">
        <v>194</v>
      </c>
      <c r="B48" s="19" t="s">
        <v>41</v>
      </c>
      <c r="C48" s="20" t="s">
        <v>43</v>
      </c>
      <c r="D48" s="116">
        <v>0</v>
      </c>
      <c r="E48" s="117">
        <v>0</v>
      </c>
      <c r="F48" s="117">
        <v>0</v>
      </c>
      <c r="G48" s="117">
        <v>0</v>
      </c>
      <c r="H48" s="119">
        <v>0</v>
      </c>
      <c r="I48" s="35">
        <v>0</v>
      </c>
      <c r="J48" s="35">
        <v>0</v>
      </c>
    </row>
    <row r="49" spans="1:10" ht="47.25">
      <c r="A49" s="27" t="s">
        <v>136</v>
      </c>
      <c r="B49" s="27"/>
      <c r="C49" s="28" t="s">
        <v>106</v>
      </c>
      <c r="D49" s="115">
        <f>D50+D57+D58</f>
        <v>71537.5</v>
      </c>
      <c r="E49" s="115">
        <f>E50+E57+E58</f>
        <v>66363.6</v>
      </c>
      <c r="F49" s="115">
        <f>F50+F57+F58</f>
        <v>66363.6</v>
      </c>
      <c r="G49" s="115">
        <f>G50+G57+G58</f>
        <v>7368.6</v>
      </c>
      <c r="H49" s="115">
        <f>H50+H57+H58</f>
        <v>73732.2</v>
      </c>
      <c r="I49" s="62">
        <f t="shared" si="1"/>
        <v>93</v>
      </c>
      <c r="J49" s="62">
        <f t="shared" si="2"/>
        <v>90</v>
      </c>
    </row>
    <row r="50" spans="1:10" ht="47.25">
      <c r="A50" s="27" t="s">
        <v>137</v>
      </c>
      <c r="B50" s="27"/>
      <c r="C50" s="28" t="s">
        <v>111</v>
      </c>
      <c r="D50" s="115">
        <f>D51+D52+D53+D54+D55+D56</f>
        <v>64863.5</v>
      </c>
      <c r="E50" s="115">
        <f>E51+E52+E53+E54+E55+E56</f>
        <v>63575.7</v>
      </c>
      <c r="F50" s="115">
        <f>F51+F52+F53+F54+F55+F56</f>
        <v>63575.7</v>
      </c>
      <c r="G50" s="115">
        <f>G51+G52+G53+G54+G55+G56</f>
        <v>3038.3</v>
      </c>
      <c r="H50" s="115">
        <f>H51+H52+H53+H54+H55+H56</f>
        <v>66614</v>
      </c>
      <c r="I50" s="62">
        <f t="shared" si="1"/>
        <v>98</v>
      </c>
      <c r="J50" s="62">
        <f t="shared" si="2"/>
        <v>95</v>
      </c>
    </row>
    <row r="51" spans="1:10" ht="15.75">
      <c r="A51" s="59"/>
      <c r="B51" s="41" t="s">
        <v>75</v>
      </c>
      <c r="C51" s="39" t="s">
        <v>90</v>
      </c>
      <c r="D51" s="116">
        <f>'РОСПИСЬ на 30062016'!D51/12*6.3</f>
        <v>50724.2</v>
      </c>
      <c r="E51" s="120">
        <v>50697.5</v>
      </c>
      <c r="F51" s="120">
        <v>50697.5</v>
      </c>
      <c r="G51" s="127">
        <v>0</v>
      </c>
      <c r="H51" s="119">
        <f t="shared" si="3"/>
        <v>50697.5</v>
      </c>
      <c r="I51" s="35">
        <f t="shared" si="1"/>
        <v>100</v>
      </c>
      <c r="J51" s="35">
        <f t="shared" si="2"/>
        <v>100</v>
      </c>
    </row>
    <row r="52" spans="1:10" s="26" customFormat="1" ht="15.75">
      <c r="A52" s="27"/>
      <c r="B52" s="41" t="s">
        <v>31</v>
      </c>
      <c r="C52" s="39" t="s">
        <v>76</v>
      </c>
      <c r="D52" s="116">
        <f>'РОСПИСЬ на 30062016'!D52/12*6.3</f>
        <v>1532.6</v>
      </c>
      <c r="E52" s="120">
        <v>1528.7</v>
      </c>
      <c r="F52" s="120">
        <v>1528.7</v>
      </c>
      <c r="G52" s="123">
        <v>25.7</v>
      </c>
      <c r="H52" s="119">
        <f t="shared" si="3"/>
        <v>1554.4</v>
      </c>
      <c r="I52" s="35">
        <f t="shared" si="1"/>
        <v>100</v>
      </c>
      <c r="J52" s="35">
        <f t="shared" si="2"/>
        <v>98</v>
      </c>
    </row>
    <row r="53" spans="1:10" ht="15.75">
      <c r="A53" s="27"/>
      <c r="B53" s="41" t="s">
        <v>77</v>
      </c>
      <c r="C53" s="39" t="s">
        <v>78</v>
      </c>
      <c r="D53" s="116">
        <f>'РОСПИСЬ на 30062016'!D53/12*6.2</f>
        <v>2140.9</v>
      </c>
      <c r="E53" s="120">
        <v>2135.1</v>
      </c>
      <c r="F53" s="120">
        <v>2135.1</v>
      </c>
      <c r="G53" s="120">
        <v>4.5</v>
      </c>
      <c r="H53" s="119">
        <f t="shared" si="3"/>
        <v>2139.6</v>
      </c>
      <c r="I53" s="35">
        <f t="shared" si="1"/>
        <v>100</v>
      </c>
      <c r="J53" s="35">
        <f t="shared" si="2"/>
        <v>100</v>
      </c>
    </row>
    <row r="54" spans="1:10" s="24" customFormat="1" ht="31.5">
      <c r="A54" s="27"/>
      <c r="B54" s="41" t="s">
        <v>107</v>
      </c>
      <c r="C54" s="42" t="s">
        <v>108</v>
      </c>
      <c r="D54" s="116">
        <f>'РОСПИСЬ на 30062016'!D54/12*6</f>
        <v>459.4</v>
      </c>
      <c r="E54" s="120">
        <v>224.6</v>
      </c>
      <c r="F54" s="120">
        <v>224.6</v>
      </c>
      <c r="G54" s="120">
        <v>209.5</v>
      </c>
      <c r="H54" s="119">
        <f t="shared" si="3"/>
        <v>434.1</v>
      </c>
      <c r="I54" s="35">
        <f t="shared" si="1"/>
        <v>49</v>
      </c>
      <c r="J54" s="35">
        <f t="shared" si="2"/>
        <v>52</v>
      </c>
    </row>
    <row r="55" spans="1:10" s="24" customFormat="1" ht="15.75">
      <c r="A55" s="27"/>
      <c r="B55" s="41" t="s">
        <v>83</v>
      </c>
      <c r="C55" s="39" t="s">
        <v>84</v>
      </c>
      <c r="D55" s="116">
        <f>'РОСПИСЬ на 30062016'!D55/12*7.05</f>
        <v>709.9</v>
      </c>
      <c r="E55" s="120">
        <v>708.5</v>
      </c>
      <c r="F55" s="120">
        <v>708.5</v>
      </c>
      <c r="G55" s="119">
        <v>83.8</v>
      </c>
      <c r="H55" s="119">
        <f t="shared" si="3"/>
        <v>792.3</v>
      </c>
      <c r="I55" s="35">
        <f t="shared" si="1"/>
        <v>100</v>
      </c>
      <c r="J55" s="35">
        <f t="shared" si="2"/>
        <v>89</v>
      </c>
    </row>
    <row r="56" spans="1:10" s="24" customFormat="1" ht="15.75">
      <c r="A56" s="27"/>
      <c r="B56" s="41"/>
      <c r="C56" s="39" t="s">
        <v>85</v>
      </c>
      <c r="D56" s="116">
        <f>'РОСПИСЬ на 30062016'!D56/12*6</f>
        <v>9296.5</v>
      </c>
      <c r="E56" s="120">
        <v>8281.3</v>
      </c>
      <c r="F56" s="120">
        <v>8281.3</v>
      </c>
      <c r="G56" s="119">
        <v>2714.8</v>
      </c>
      <c r="H56" s="119">
        <f t="shared" si="3"/>
        <v>10996.1</v>
      </c>
      <c r="I56" s="35">
        <f t="shared" si="1"/>
        <v>89</v>
      </c>
      <c r="J56" s="35">
        <f t="shared" si="2"/>
        <v>75</v>
      </c>
    </row>
    <row r="57" spans="1:10" s="29" customFormat="1" ht="63">
      <c r="A57" s="52" t="s">
        <v>208</v>
      </c>
      <c r="B57" s="27"/>
      <c r="C57" s="28" t="s">
        <v>109</v>
      </c>
      <c r="D57" s="126">
        <f>'РОСПИСЬ на 30062016'!D57/12*6</f>
        <v>6007.8</v>
      </c>
      <c r="E57" s="128">
        <v>2269.4</v>
      </c>
      <c r="F57" s="128">
        <v>2269.4</v>
      </c>
      <c r="G57" s="128">
        <v>4045.8</v>
      </c>
      <c r="H57" s="124">
        <f t="shared" si="3"/>
        <v>6315.2</v>
      </c>
      <c r="I57" s="62">
        <f t="shared" si="1"/>
        <v>38</v>
      </c>
      <c r="J57" s="62">
        <f t="shared" si="2"/>
        <v>36</v>
      </c>
    </row>
    <row r="58" spans="1:12" s="29" customFormat="1" ht="57.75" customHeight="1">
      <c r="A58" s="52" t="s">
        <v>187</v>
      </c>
      <c r="B58" s="27" t="s">
        <v>185</v>
      </c>
      <c r="C58" s="28" t="s">
        <v>186</v>
      </c>
      <c r="D58" s="126">
        <f>'РОСПИСЬ на 30062016'!D58/12*6</f>
        <v>666.2</v>
      </c>
      <c r="E58" s="128">
        <v>518.5</v>
      </c>
      <c r="F58" s="128">
        <v>518.5</v>
      </c>
      <c r="G58" s="128">
        <v>284.5</v>
      </c>
      <c r="H58" s="124">
        <f t="shared" si="3"/>
        <v>803</v>
      </c>
      <c r="I58" s="62">
        <f t="shared" si="1"/>
        <v>78</v>
      </c>
      <c r="J58" s="62">
        <f t="shared" si="2"/>
        <v>65</v>
      </c>
      <c r="L58" s="29">
        <f>21282.3+10653.7+5104.3+813.7+80.9+6.6</f>
        <v>37941.5</v>
      </c>
    </row>
    <row r="59" spans="1:10" ht="15.75">
      <c r="A59" s="44" t="s">
        <v>206</v>
      </c>
      <c r="B59" s="44"/>
      <c r="C59" s="45" t="s">
        <v>9</v>
      </c>
      <c r="D59" s="115">
        <f>D60+D90+D97+D104</f>
        <v>1556407.4</v>
      </c>
      <c r="E59" s="115">
        <f>E60+E90+E97+E104</f>
        <v>1527252.4</v>
      </c>
      <c r="F59" s="115">
        <f>F60+F90+F97+F104</f>
        <v>1527252.4</v>
      </c>
      <c r="G59" s="115">
        <f>G60+G90+G97+G104</f>
        <v>83056.9</v>
      </c>
      <c r="H59" s="115">
        <f>H60+H90+H97+H104</f>
        <v>1610309.3</v>
      </c>
      <c r="I59" s="62">
        <f t="shared" si="1"/>
        <v>98</v>
      </c>
      <c r="J59" s="62">
        <f t="shared" si="2"/>
        <v>95</v>
      </c>
    </row>
    <row r="60" spans="1:10" s="18" customFormat="1" ht="15.75">
      <c r="A60" s="44"/>
      <c r="B60" s="44"/>
      <c r="C60" s="45" t="s">
        <v>10</v>
      </c>
      <c r="D60" s="115">
        <f>D61+D62+D63+D64+D65+D66+D67+D68+D70+D73+D74+D75+D76+D77+D78+D81+D82+D83+D84+D87+D88+D89</f>
        <v>1528259.8</v>
      </c>
      <c r="E60" s="115">
        <f>E61+E62+E63+E64+E65+E66+E67+E68+E70+E73+E74+E75+E76+E77+E78+E81+E82+E83+E84+E87+E88+E89</f>
        <v>1500652.2</v>
      </c>
      <c r="F60" s="115">
        <f>F61+F62+F63+F64+F65+F66+F67+F68+F70+F73+F74+F75+F76+F77+F78+F81+F82+F83+F84+F87+F88+F89</f>
        <v>1500652.2</v>
      </c>
      <c r="G60" s="115">
        <f>G61+G62+G63+G64+G65+G66+G67+G68+G70+G73+G74+G75+G76+G77+G78+G81+G82+G83+G84+G87+G88+G89</f>
        <v>83056.9</v>
      </c>
      <c r="H60" s="115">
        <f>H61+H62+H63+H64+H65+H66+H67+H68+H70+H73+H74+H75+H76+H77+H78+H81+H82+H83+H84+H87+H88+H89</f>
        <v>1583709.1</v>
      </c>
      <c r="I60" s="62">
        <f t="shared" si="1"/>
        <v>98</v>
      </c>
      <c r="J60" s="62">
        <f t="shared" si="2"/>
        <v>95</v>
      </c>
    </row>
    <row r="61" spans="1:10" s="18" customFormat="1" ht="35.25" customHeight="1">
      <c r="A61" s="27" t="s">
        <v>139</v>
      </c>
      <c r="B61" s="27"/>
      <c r="C61" s="28" t="s">
        <v>110</v>
      </c>
      <c r="D61" s="116">
        <f>'РОСПИСЬ на 30062016'!D61/12*6.36</f>
        <v>113840.7</v>
      </c>
      <c r="E61" s="120">
        <v>113719</v>
      </c>
      <c r="F61" s="120">
        <v>113719</v>
      </c>
      <c r="G61" s="120">
        <v>3443.7</v>
      </c>
      <c r="H61" s="119">
        <f t="shared" si="3"/>
        <v>117162.7</v>
      </c>
      <c r="I61" s="35">
        <f t="shared" si="1"/>
        <v>100</v>
      </c>
      <c r="J61" s="35">
        <f t="shared" si="2"/>
        <v>97</v>
      </c>
    </row>
    <row r="62" spans="1:10" s="18" customFormat="1" ht="69.75" customHeight="1">
      <c r="A62" s="27" t="s">
        <v>207</v>
      </c>
      <c r="B62" s="27"/>
      <c r="C62" s="28" t="s">
        <v>109</v>
      </c>
      <c r="D62" s="116">
        <f>'РОСПИСЬ на 30062016'!D62/12*7.6</f>
        <v>3396.4</v>
      </c>
      <c r="E62" s="120">
        <v>3380.3</v>
      </c>
      <c r="F62" s="120">
        <v>3380.3</v>
      </c>
      <c r="G62" s="120">
        <v>281.9</v>
      </c>
      <c r="H62" s="119">
        <f t="shared" si="3"/>
        <v>3662.2</v>
      </c>
      <c r="I62" s="35">
        <f t="shared" si="1"/>
        <v>100</v>
      </c>
      <c r="J62" s="35">
        <f t="shared" si="2"/>
        <v>92</v>
      </c>
    </row>
    <row r="63" spans="1:10" s="24" customFormat="1" ht="94.5">
      <c r="A63" s="27" t="s">
        <v>140</v>
      </c>
      <c r="B63" s="38"/>
      <c r="C63" s="28" t="s">
        <v>33</v>
      </c>
      <c r="D63" s="116">
        <f>'РОСПИСЬ на 30062016'!D63/12*6</f>
        <v>1395.4</v>
      </c>
      <c r="E63" s="129">
        <v>395.5</v>
      </c>
      <c r="F63" s="129">
        <v>395.5</v>
      </c>
      <c r="G63" s="123">
        <v>0</v>
      </c>
      <c r="H63" s="119">
        <f t="shared" si="3"/>
        <v>395.5</v>
      </c>
      <c r="I63" s="35">
        <f>E63*100/D63</f>
        <v>28</v>
      </c>
      <c r="J63" s="35">
        <f t="shared" si="2"/>
        <v>100</v>
      </c>
    </row>
    <row r="64" spans="1:10" s="24" customFormat="1" ht="48.75" customHeight="1">
      <c r="A64" s="27" t="s">
        <v>141</v>
      </c>
      <c r="B64" s="27"/>
      <c r="C64" s="28" t="s">
        <v>16</v>
      </c>
      <c r="D64" s="116">
        <f>'РОСПИСЬ на 30062016'!D64/12*6</f>
        <v>3179.2</v>
      </c>
      <c r="E64" s="129">
        <v>1814</v>
      </c>
      <c r="F64" s="129">
        <v>1814</v>
      </c>
      <c r="G64" s="123">
        <v>0</v>
      </c>
      <c r="H64" s="119">
        <f t="shared" si="3"/>
        <v>1814</v>
      </c>
      <c r="I64" s="35">
        <f t="shared" si="1"/>
        <v>57</v>
      </c>
      <c r="J64" s="35">
        <f t="shared" si="2"/>
        <v>100</v>
      </c>
    </row>
    <row r="65" spans="1:10" s="18" customFormat="1" ht="81" customHeight="1">
      <c r="A65" s="27" t="s">
        <v>142</v>
      </c>
      <c r="B65" s="27"/>
      <c r="C65" s="28" t="s">
        <v>22</v>
      </c>
      <c r="D65" s="126">
        <f>'РОСПИСЬ на 30062016'!D65</f>
        <v>12257.6</v>
      </c>
      <c r="E65" s="121">
        <v>12005.9</v>
      </c>
      <c r="F65" s="121">
        <v>12005.9</v>
      </c>
      <c r="G65" s="124">
        <v>0</v>
      </c>
      <c r="H65" s="119">
        <f t="shared" si="3"/>
        <v>12005.9</v>
      </c>
      <c r="I65" s="35">
        <f t="shared" si="1"/>
        <v>98</v>
      </c>
      <c r="J65" s="35">
        <f t="shared" si="2"/>
        <v>100</v>
      </c>
    </row>
    <row r="66" spans="1:10" s="18" customFormat="1" ht="31.5">
      <c r="A66" s="27" t="s">
        <v>143</v>
      </c>
      <c r="B66" s="27"/>
      <c r="C66" s="28" t="s">
        <v>15</v>
      </c>
      <c r="D66" s="116">
        <f>'РОСПИСЬ на 30062016'!D66/12*6</f>
        <v>89081.5</v>
      </c>
      <c r="E66" s="120">
        <v>85949.3</v>
      </c>
      <c r="F66" s="120">
        <v>85949.3</v>
      </c>
      <c r="G66" s="115"/>
      <c r="H66" s="119">
        <f t="shared" si="3"/>
        <v>85949.3</v>
      </c>
      <c r="I66" s="35">
        <f t="shared" si="1"/>
        <v>96</v>
      </c>
      <c r="J66" s="35">
        <f t="shared" si="2"/>
        <v>100</v>
      </c>
    </row>
    <row r="67" spans="1:10" s="24" customFormat="1" ht="47.25">
      <c r="A67" s="27" t="s">
        <v>144</v>
      </c>
      <c r="B67" s="60"/>
      <c r="C67" s="52" t="s">
        <v>100</v>
      </c>
      <c r="D67" s="116">
        <f>'РОСПИСЬ на 30062016'!D67/12*6</f>
        <v>375</v>
      </c>
      <c r="E67" s="120">
        <v>300</v>
      </c>
      <c r="F67" s="120">
        <v>300</v>
      </c>
      <c r="G67" s="127">
        <v>0</v>
      </c>
      <c r="H67" s="119">
        <f>G67+E67</f>
        <v>300</v>
      </c>
      <c r="I67" s="35">
        <f t="shared" si="1"/>
        <v>80</v>
      </c>
      <c r="J67" s="35">
        <f t="shared" si="2"/>
        <v>100</v>
      </c>
    </row>
    <row r="68" spans="1:10" ht="31.5">
      <c r="A68" s="27" t="s">
        <v>145</v>
      </c>
      <c r="B68" s="27"/>
      <c r="C68" s="28" t="s">
        <v>101</v>
      </c>
      <c r="D68" s="116">
        <f>'РОСПИСЬ на 30062016'!D68/12*6</f>
        <v>19325</v>
      </c>
      <c r="E68" s="120">
        <v>22962.9</v>
      </c>
      <c r="F68" s="120">
        <v>22962.9</v>
      </c>
      <c r="G68" s="123">
        <v>0</v>
      </c>
      <c r="H68" s="119">
        <f t="shared" si="3"/>
        <v>22962.9</v>
      </c>
      <c r="I68" s="35">
        <f t="shared" si="1"/>
        <v>119</v>
      </c>
      <c r="J68" s="35">
        <f t="shared" si="2"/>
        <v>100</v>
      </c>
    </row>
    <row r="69" spans="1:10" ht="47.25">
      <c r="A69" s="38" t="s">
        <v>146</v>
      </c>
      <c r="B69" s="38" t="s">
        <v>29</v>
      </c>
      <c r="C69" s="42" t="s">
        <v>23</v>
      </c>
      <c r="D69" s="116">
        <f>'РОСПИСЬ на 30062016'!D69/12*6</f>
        <v>167873.4</v>
      </c>
      <c r="E69" s="130">
        <f>E70+E73</f>
        <v>161374.9</v>
      </c>
      <c r="F69" s="130">
        <f>F70+F73</f>
        <v>161374.9</v>
      </c>
      <c r="G69" s="116">
        <f>G70+G73</f>
        <v>25540.6</v>
      </c>
      <c r="H69" s="116">
        <f>H70+H73</f>
        <v>186915.5</v>
      </c>
      <c r="I69" s="62">
        <f t="shared" si="1"/>
        <v>96</v>
      </c>
      <c r="J69" s="62">
        <f t="shared" si="2"/>
        <v>86</v>
      </c>
    </row>
    <row r="70" spans="1:10" ht="31.5">
      <c r="A70" s="27" t="s">
        <v>147</v>
      </c>
      <c r="B70" s="38"/>
      <c r="C70" s="28" t="s">
        <v>18</v>
      </c>
      <c r="D70" s="116">
        <f>'РОСПИСЬ на 30062016'!D70/12*6</f>
        <v>157800.2</v>
      </c>
      <c r="E70" s="130">
        <f>E71+E72</f>
        <v>153148.5</v>
      </c>
      <c r="F70" s="130">
        <f>F71+F72</f>
        <v>153148.5</v>
      </c>
      <c r="G70" s="116">
        <f>G71+G72</f>
        <v>25540.6</v>
      </c>
      <c r="H70" s="116">
        <f>H71+H72</f>
        <v>178689.1</v>
      </c>
      <c r="I70" s="62">
        <f t="shared" si="1"/>
        <v>97</v>
      </c>
      <c r="J70" s="62">
        <f t="shared" si="2"/>
        <v>86</v>
      </c>
    </row>
    <row r="71" spans="1:10" ht="31.5">
      <c r="A71" s="23"/>
      <c r="B71" s="19" t="s">
        <v>45</v>
      </c>
      <c r="C71" s="22" t="s">
        <v>116</v>
      </c>
      <c r="D71" s="116">
        <f>'РОСПИСЬ на 30062016'!D71/12*6</f>
        <v>92102.2</v>
      </c>
      <c r="E71" s="120">
        <f>90038.38+388.94+908.96</f>
        <v>91336.3</v>
      </c>
      <c r="F71" s="120">
        <v>91336.3</v>
      </c>
      <c r="G71" s="119">
        <v>15301.3</v>
      </c>
      <c r="H71" s="119">
        <f t="shared" si="3"/>
        <v>106637.6</v>
      </c>
      <c r="I71" s="35">
        <f t="shared" si="1"/>
        <v>99</v>
      </c>
      <c r="J71" s="35">
        <f t="shared" si="2"/>
        <v>86</v>
      </c>
    </row>
    <row r="72" spans="1:10" ht="31.5">
      <c r="A72" s="21"/>
      <c r="B72" s="19" t="s">
        <v>50</v>
      </c>
      <c r="C72" s="22" t="s">
        <v>34</v>
      </c>
      <c r="D72" s="116">
        <f>'РОСПИСЬ на 30062016'!D72/12*6</f>
        <v>65698</v>
      </c>
      <c r="E72" s="120">
        <f>221.63+688.06+60902.47</f>
        <v>61812.2</v>
      </c>
      <c r="F72" s="120">
        <v>61812.2</v>
      </c>
      <c r="G72" s="119">
        <v>10239.3</v>
      </c>
      <c r="H72" s="119">
        <f t="shared" si="3"/>
        <v>72051.5</v>
      </c>
      <c r="I72" s="35">
        <f t="shared" si="1"/>
        <v>94</v>
      </c>
      <c r="J72" s="35">
        <f t="shared" si="2"/>
        <v>86</v>
      </c>
    </row>
    <row r="73" spans="1:10" ht="47.25">
      <c r="A73" s="23" t="s">
        <v>148</v>
      </c>
      <c r="B73" s="19"/>
      <c r="C73" s="3" t="s">
        <v>24</v>
      </c>
      <c r="D73" s="116">
        <f>'РОСПИСЬ на 30062016'!D73/12*6</f>
        <v>10073.2</v>
      </c>
      <c r="E73" s="120">
        <v>8226.4</v>
      </c>
      <c r="F73" s="120">
        <v>8226.4</v>
      </c>
      <c r="G73" s="119">
        <v>0</v>
      </c>
      <c r="H73" s="119">
        <f t="shared" si="3"/>
        <v>8226.4</v>
      </c>
      <c r="I73" s="35">
        <f aca="true" t="shared" si="4" ref="I73:I97">E73*100/D73</f>
        <v>82</v>
      </c>
      <c r="J73" s="35">
        <f t="shared" si="2"/>
        <v>100</v>
      </c>
    </row>
    <row r="74" spans="1:10" s="24" customFormat="1" ht="47.25">
      <c r="A74" s="23" t="s">
        <v>149</v>
      </c>
      <c r="B74" s="23" t="s">
        <v>2</v>
      </c>
      <c r="C74" s="3" t="s">
        <v>67</v>
      </c>
      <c r="D74" s="126">
        <f>'РОСПИСЬ на 30062016'!D74/12*6</f>
        <v>412612.2</v>
      </c>
      <c r="E74" s="128">
        <v>401291.9</v>
      </c>
      <c r="F74" s="128">
        <v>401291.9</v>
      </c>
      <c r="G74" s="131">
        <v>0</v>
      </c>
      <c r="H74" s="119">
        <f t="shared" si="3"/>
        <v>401291.9</v>
      </c>
      <c r="I74" s="35">
        <f t="shared" si="4"/>
        <v>97</v>
      </c>
      <c r="J74" s="35">
        <f t="shared" si="2"/>
        <v>100</v>
      </c>
    </row>
    <row r="75" spans="1:10" ht="94.5">
      <c r="A75" s="23" t="s">
        <v>150</v>
      </c>
      <c r="B75" s="23"/>
      <c r="C75" s="3" t="s">
        <v>25</v>
      </c>
      <c r="D75" s="126">
        <f>'РОСПИСЬ на 30062016'!D75/12*6</f>
        <v>15.2</v>
      </c>
      <c r="E75" s="121">
        <v>14.2</v>
      </c>
      <c r="F75" s="121">
        <v>14.2</v>
      </c>
      <c r="G75" s="115">
        <v>0</v>
      </c>
      <c r="H75" s="119">
        <f t="shared" si="3"/>
        <v>14.2</v>
      </c>
      <c r="I75" s="35">
        <f t="shared" si="4"/>
        <v>93</v>
      </c>
      <c r="J75" s="35">
        <f t="shared" si="2"/>
        <v>100</v>
      </c>
    </row>
    <row r="76" spans="1:10" ht="94.5">
      <c r="A76" s="23" t="s">
        <v>151</v>
      </c>
      <c r="B76" s="23" t="s">
        <v>42</v>
      </c>
      <c r="C76" s="3" t="s">
        <v>26</v>
      </c>
      <c r="D76" s="126">
        <f>'РОСПИСЬ на 30062016'!D76/12*6</f>
        <v>7.6</v>
      </c>
      <c r="E76" s="121">
        <v>10.4</v>
      </c>
      <c r="F76" s="121">
        <v>10.4</v>
      </c>
      <c r="G76" s="120">
        <v>0</v>
      </c>
      <c r="H76" s="119">
        <f t="shared" si="3"/>
        <v>10.4</v>
      </c>
      <c r="I76" s="35">
        <f t="shared" si="4"/>
        <v>137</v>
      </c>
      <c r="J76" s="35">
        <f t="shared" si="2"/>
        <v>100</v>
      </c>
    </row>
    <row r="77" spans="1:10" ht="173.25">
      <c r="A77" s="27" t="s">
        <v>152</v>
      </c>
      <c r="B77" s="27" t="s">
        <v>45</v>
      </c>
      <c r="C77" s="28" t="s">
        <v>39</v>
      </c>
      <c r="D77" s="126">
        <f>'РОСПИСЬ на 30062016'!D77/12*6.7</f>
        <v>218346.6</v>
      </c>
      <c r="E77" s="128">
        <v>218864.2</v>
      </c>
      <c r="F77" s="128">
        <v>218864.2</v>
      </c>
      <c r="G77" s="131">
        <v>0</v>
      </c>
      <c r="H77" s="119">
        <f t="shared" si="3"/>
        <v>218864.2</v>
      </c>
      <c r="I77" s="35">
        <f t="shared" si="4"/>
        <v>100</v>
      </c>
      <c r="J77" s="35">
        <f t="shared" si="2"/>
        <v>100</v>
      </c>
    </row>
    <row r="78" spans="1:10" ht="78.75">
      <c r="A78" s="16" t="s">
        <v>153</v>
      </c>
      <c r="B78" s="19"/>
      <c r="C78" s="17" t="s">
        <v>35</v>
      </c>
      <c r="D78" s="132">
        <f>D79+D80</f>
        <v>193345.3</v>
      </c>
      <c r="E78" s="132">
        <f>E79+E80</f>
        <v>189433.1</v>
      </c>
      <c r="F78" s="132">
        <f>F79+F80</f>
        <v>189433.1</v>
      </c>
      <c r="G78" s="132">
        <f>G79+G80</f>
        <v>30997.8</v>
      </c>
      <c r="H78" s="132">
        <f>H79+H80</f>
        <v>220430.9</v>
      </c>
      <c r="I78" s="35">
        <f t="shared" si="4"/>
        <v>98</v>
      </c>
      <c r="J78" s="35">
        <f aca="true" t="shared" si="5" ref="J78:J110">E78*100/H78</f>
        <v>86</v>
      </c>
    </row>
    <row r="79" spans="1:10" ht="31.5">
      <c r="A79" s="19"/>
      <c r="B79" s="19" t="s">
        <v>45</v>
      </c>
      <c r="C79" s="20" t="s">
        <v>115</v>
      </c>
      <c r="D79" s="116">
        <f>'РОСПИСЬ на 30062016'!D79/12*6</f>
        <v>130400.5</v>
      </c>
      <c r="E79" s="130">
        <f>128998.41+335.29+1568.3</f>
        <v>130902</v>
      </c>
      <c r="F79" s="130">
        <f>128998.41+335.29+1568.3</f>
        <v>130902</v>
      </c>
      <c r="G79" s="116">
        <v>21304.8</v>
      </c>
      <c r="H79" s="119">
        <f t="shared" si="3"/>
        <v>152206.8</v>
      </c>
      <c r="I79" s="35">
        <f t="shared" si="4"/>
        <v>100</v>
      </c>
      <c r="J79" s="35">
        <f t="shared" si="5"/>
        <v>86</v>
      </c>
    </row>
    <row r="80" spans="1:10" ht="47.25">
      <c r="A80" s="19"/>
      <c r="B80" s="19" t="s">
        <v>50</v>
      </c>
      <c r="C80" s="20" t="s">
        <v>36</v>
      </c>
      <c r="D80" s="116">
        <f>'РОСПИСЬ на 30062016'!D80/12*6</f>
        <v>62944.8</v>
      </c>
      <c r="E80" s="120">
        <f>57578.74+252.87+699.51</f>
        <v>58531.1</v>
      </c>
      <c r="F80" s="120">
        <f>57578.74+252.87+699.51</f>
        <v>58531.1</v>
      </c>
      <c r="G80" s="123">
        <v>9693</v>
      </c>
      <c r="H80" s="119">
        <f t="shared" si="3"/>
        <v>68224.1</v>
      </c>
      <c r="I80" s="35">
        <f t="shared" si="4"/>
        <v>93</v>
      </c>
      <c r="J80" s="35">
        <f t="shared" si="5"/>
        <v>86</v>
      </c>
    </row>
    <row r="81" spans="1:10" ht="63">
      <c r="A81" s="23" t="s">
        <v>154</v>
      </c>
      <c r="B81" s="23" t="s">
        <v>42</v>
      </c>
      <c r="C81" s="3" t="s">
        <v>27</v>
      </c>
      <c r="D81" s="126">
        <f>'РОСПИСЬ на 30062016'!D81/12*8.5</f>
        <v>106011.1</v>
      </c>
      <c r="E81" s="117">
        <v>105922.5</v>
      </c>
      <c r="F81" s="117">
        <v>105922.5</v>
      </c>
      <c r="G81" s="119">
        <v>12180</v>
      </c>
      <c r="H81" s="119">
        <f t="shared" si="3"/>
        <v>118102.5</v>
      </c>
      <c r="I81" s="35">
        <f t="shared" si="4"/>
        <v>100</v>
      </c>
      <c r="J81" s="35">
        <f t="shared" si="5"/>
        <v>90</v>
      </c>
    </row>
    <row r="82" spans="1:10" ht="63">
      <c r="A82" s="23" t="s">
        <v>155</v>
      </c>
      <c r="B82" s="23" t="s">
        <v>45</v>
      </c>
      <c r="C82" s="3" t="s">
        <v>37</v>
      </c>
      <c r="D82" s="126">
        <f>'РОСПИСЬ на 30062016'!D82/12*10.6</f>
        <v>106430.6</v>
      </c>
      <c r="E82" s="132">
        <v>106562.1</v>
      </c>
      <c r="F82" s="132">
        <v>106562.1</v>
      </c>
      <c r="G82" s="119">
        <v>0</v>
      </c>
      <c r="H82" s="119">
        <f t="shared" si="3"/>
        <v>106562.1</v>
      </c>
      <c r="I82" s="35">
        <f t="shared" si="4"/>
        <v>100</v>
      </c>
      <c r="J82" s="35">
        <f t="shared" si="5"/>
        <v>100</v>
      </c>
    </row>
    <row r="83" spans="1:10" ht="47.25">
      <c r="A83" s="16" t="s">
        <v>156</v>
      </c>
      <c r="B83" s="16" t="s">
        <v>45</v>
      </c>
      <c r="C83" s="17" t="s">
        <v>66</v>
      </c>
      <c r="D83" s="126">
        <f>'РОСПИСЬ на 30062016'!D83/12*6</f>
        <v>1147.7</v>
      </c>
      <c r="E83" s="117">
        <v>568.6</v>
      </c>
      <c r="F83" s="117">
        <v>568.6</v>
      </c>
      <c r="G83" s="119">
        <v>0</v>
      </c>
      <c r="H83" s="119">
        <f t="shared" si="3"/>
        <v>568.6</v>
      </c>
      <c r="I83" s="35">
        <f t="shared" si="4"/>
        <v>50</v>
      </c>
      <c r="J83" s="35">
        <f t="shared" si="5"/>
        <v>100</v>
      </c>
    </row>
    <row r="84" spans="1:10" ht="37.5" customHeight="1">
      <c r="A84" s="23" t="s">
        <v>157</v>
      </c>
      <c r="B84" s="16"/>
      <c r="C84" s="3" t="s">
        <v>49</v>
      </c>
      <c r="D84" s="132">
        <f>D85+D86</f>
        <v>68227</v>
      </c>
      <c r="E84" s="132">
        <f>E85+E86</f>
        <v>65906.1</v>
      </c>
      <c r="F84" s="132">
        <f>F85+F86</f>
        <v>65906.1</v>
      </c>
      <c r="G84" s="132">
        <f>G85+G86</f>
        <v>10612.9</v>
      </c>
      <c r="H84" s="132">
        <f>H85+H86</f>
        <v>76519</v>
      </c>
      <c r="I84" s="35">
        <f t="shared" si="4"/>
        <v>97</v>
      </c>
      <c r="J84" s="35">
        <f t="shared" si="5"/>
        <v>86</v>
      </c>
    </row>
    <row r="85" spans="1:10" s="18" customFormat="1" ht="47.25">
      <c r="A85" s="19"/>
      <c r="B85" s="19" t="s">
        <v>50</v>
      </c>
      <c r="C85" s="20" t="s">
        <v>38</v>
      </c>
      <c r="D85" s="116">
        <f>'РОСПИСЬ на 30062016'!D85/12*6</f>
        <v>7598.8</v>
      </c>
      <c r="E85" s="120">
        <f>5505.87+72.66</f>
        <v>5578.5</v>
      </c>
      <c r="F85" s="120">
        <f>5505.87+72.66</f>
        <v>5578.5</v>
      </c>
      <c r="G85" s="123">
        <v>1162.7</v>
      </c>
      <c r="H85" s="119">
        <f aca="true" t="shared" si="6" ref="H85:H110">G85+E85</f>
        <v>6741.2</v>
      </c>
      <c r="I85" s="35">
        <f t="shared" si="4"/>
        <v>73</v>
      </c>
      <c r="J85" s="35">
        <f t="shared" si="5"/>
        <v>83</v>
      </c>
    </row>
    <row r="86" spans="1:10" ht="47.25">
      <c r="A86" s="23"/>
      <c r="B86" s="19" t="s">
        <v>45</v>
      </c>
      <c r="C86" s="20" t="s">
        <v>48</v>
      </c>
      <c r="D86" s="116">
        <f>'РОСПИСЬ на 30062016'!D86/12*7.3</f>
        <v>60628.2</v>
      </c>
      <c r="E86" s="120">
        <f>59426.13+670.46+231.77-0.72</f>
        <v>60327.6</v>
      </c>
      <c r="F86" s="120">
        <f>59426.13+670.46+231.77-0.72</f>
        <v>60327.6</v>
      </c>
      <c r="G86" s="119">
        <v>9450.2</v>
      </c>
      <c r="H86" s="119">
        <f t="shared" si="6"/>
        <v>69777.8</v>
      </c>
      <c r="I86" s="35">
        <f t="shared" si="4"/>
        <v>100</v>
      </c>
      <c r="J86" s="35">
        <f t="shared" si="5"/>
        <v>86</v>
      </c>
    </row>
    <row r="87" spans="1:10" ht="47.25">
      <c r="A87" s="23" t="s">
        <v>158</v>
      </c>
      <c r="B87" s="16"/>
      <c r="C87" s="3" t="s">
        <v>102</v>
      </c>
      <c r="D87" s="126">
        <f>'РОСПИСЬ на 30062016'!D87/12*6</f>
        <v>9567.3</v>
      </c>
      <c r="E87" s="121">
        <v>8537.3</v>
      </c>
      <c r="F87" s="121">
        <v>8537.3</v>
      </c>
      <c r="G87" s="115">
        <v>0</v>
      </c>
      <c r="H87" s="119">
        <f t="shared" si="6"/>
        <v>8537.3</v>
      </c>
      <c r="I87" s="35">
        <f t="shared" si="4"/>
        <v>89</v>
      </c>
      <c r="J87" s="35">
        <f t="shared" si="5"/>
        <v>100</v>
      </c>
    </row>
    <row r="88" spans="1:10" ht="47.25">
      <c r="A88" s="19" t="s">
        <v>159</v>
      </c>
      <c r="B88" s="19" t="s">
        <v>41</v>
      </c>
      <c r="C88" s="61" t="s">
        <v>91</v>
      </c>
      <c r="D88" s="116">
        <f>'РОСПИСЬ на 30062016'!D88/12*6</f>
        <v>185</v>
      </c>
      <c r="E88" s="120">
        <v>0</v>
      </c>
      <c r="F88" s="120">
        <v>0</v>
      </c>
      <c r="G88" s="115">
        <v>0</v>
      </c>
      <c r="H88" s="119">
        <f t="shared" si="6"/>
        <v>0</v>
      </c>
      <c r="I88" s="35">
        <f t="shared" si="4"/>
        <v>0</v>
      </c>
      <c r="J88" s="35">
        <v>0</v>
      </c>
    </row>
    <row r="89" spans="1:10" ht="31.5">
      <c r="A89" s="27" t="s">
        <v>196</v>
      </c>
      <c r="B89" s="44" t="s">
        <v>42</v>
      </c>
      <c r="C89" s="45" t="s">
        <v>195</v>
      </c>
      <c r="D89" s="116">
        <v>1640</v>
      </c>
      <c r="E89" s="120">
        <v>1640</v>
      </c>
      <c r="F89" s="120">
        <v>1640</v>
      </c>
      <c r="G89" s="115">
        <v>0</v>
      </c>
      <c r="H89" s="119">
        <f t="shared" si="6"/>
        <v>1640</v>
      </c>
      <c r="I89" s="35">
        <f t="shared" si="4"/>
        <v>100</v>
      </c>
      <c r="J89" s="35">
        <f t="shared" si="5"/>
        <v>100</v>
      </c>
    </row>
    <row r="90" spans="1:10" ht="47.25">
      <c r="A90" s="19"/>
      <c r="B90" s="19"/>
      <c r="C90" s="17" t="s">
        <v>103</v>
      </c>
      <c r="D90" s="115">
        <f>D91+D92+D93</f>
        <v>12291.9</v>
      </c>
      <c r="E90" s="115">
        <f>E91+E92+E93</f>
        <v>10744.5</v>
      </c>
      <c r="F90" s="115">
        <f>F91+F92+F93</f>
        <v>10744.5</v>
      </c>
      <c r="G90" s="115">
        <f>G91+G92+G93</f>
        <v>0</v>
      </c>
      <c r="H90" s="115">
        <f>H91+H92+H93</f>
        <v>10744.5</v>
      </c>
      <c r="I90" s="35">
        <f t="shared" si="4"/>
        <v>87</v>
      </c>
      <c r="J90" s="35">
        <f t="shared" si="5"/>
        <v>100</v>
      </c>
    </row>
    <row r="91" spans="1:10" ht="31.5">
      <c r="A91" s="19" t="s">
        <v>161</v>
      </c>
      <c r="B91" s="19" t="s">
        <v>42</v>
      </c>
      <c r="C91" s="20" t="s">
        <v>40</v>
      </c>
      <c r="D91" s="116">
        <f>'РОСПИСЬ на 30062016'!D91/12*6</f>
        <v>4000</v>
      </c>
      <c r="E91" s="125">
        <v>3919.2</v>
      </c>
      <c r="F91" s="125">
        <v>3919.2</v>
      </c>
      <c r="G91" s="119">
        <v>0</v>
      </c>
      <c r="H91" s="119">
        <f t="shared" si="6"/>
        <v>3919.2</v>
      </c>
      <c r="I91" s="35">
        <f t="shared" si="4"/>
        <v>98</v>
      </c>
      <c r="J91" s="35">
        <f t="shared" si="5"/>
        <v>100</v>
      </c>
    </row>
    <row r="92" spans="1:10" ht="15.75">
      <c r="A92" s="19" t="s">
        <v>162</v>
      </c>
      <c r="B92" s="19" t="s">
        <v>41</v>
      </c>
      <c r="C92" s="20" t="s">
        <v>43</v>
      </c>
      <c r="D92" s="116">
        <f>'РОСПИСЬ на 30062016'!D92/12*6</f>
        <v>25.1</v>
      </c>
      <c r="E92" s="125">
        <v>0</v>
      </c>
      <c r="F92" s="125">
        <v>0</v>
      </c>
      <c r="G92" s="119">
        <v>0</v>
      </c>
      <c r="H92" s="119">
        <f t="shared" si="6"/>
        <v>0</v>
      </c>
      <c r="I92" s="35">
        <f t="shared" si="4"/>
        <v>0</v>
      </c>
      <c r="J92" s="35">
        <v>0</v>
      </c>
    </row>
    <row r="93" spans="1:10" ht="47.25">
      <c r="A93" s="23" t="s">
        <v>163</v>
      </c>
      <c r="B93" s="16"/>
      <c r="C93" s="17" t="s">
        <v>59</v>
      </c>
      <c r="D93" s="131">
        <f>D94+D95+D96</f>
        <v>8266.8</v>
      </c>
      <c r="E93" s="131">
        <f>E94+E95+E96</f>
        <v>6825.3</v>
      </c>
      <c r="F93" s="131">
        <f>F94+F95+F96</f>
        <v>6825.3</v>
      </c>
      <c r="G93" s="131">
        <f>G94+G95+G96</f>
        <v>0</v>
      </c>
      <c r="H93" s="131">
        <f>H94+H95+H96</f>
        <v>6825.3</v>
      </c>
      <c r="I93" s="35">
        <f t="shared" si="4"/>
        <v>83</v>
      </c>
      <c r="J93" s="35">
        <f t="shared" si="5"/>
        <v>100</v>
      </c>
    </row>
    <row r="94" spans="1:10" ht="78.75">
      <c r="A94" s="19" t="s">
        <v>164</v>
      </c>
      <c r="B94" s="19" t="s">
        <v>42</v>
      </c>
      <c r="C94" s="20" t="s">
        <v>104</v>
      </c>
      <c r="D94" s="116">
        <v>6600</v>
      </c>
      <c r="E94" s="125">
        <v>6600</v>
      </c>
      <c r="F94" s="125">
        <v>6600</v>
      </c>
      <c r="G94" s="119">
        <v>0</v>
      </c>
      <c r="H94" s="119">
        <f t="shared" si="6"/>
        <v>6600</v>
      </c>
      <c r="I94" s="35">
        <f t="shared" si="4"/>
        <v>100</v>
      </c>
      <c r="J94" s="35">
        <f t="shared" si="5"/>
        <v>100</v>
      </c>
    </row>
    <row r="95" spans="1:10" ht="15.75">
      <c r="A95" s="19" t="s">
        <v>165</v>
      </c>
      <c r="B95" s="19" t="s">
        <v>31</v>
      </c>
      <c r="C95" s="20" t="s">
        <v>76</v>
      </c>
      <c r="D95" s="116">
        <v>116.8</v>
      </c>
      <c r="E95" s="125">
        <v>116.8</v>
      </c>
      <c r="F95" s="125">
        <v>116.8</v>
      </c>
      <c r="G95" s="119">
        <v>0</v>
      </c>
      <c r="H95" s="119">
        <f t="shared" si="6"/>
        <v>116.8</v>
      </c>
      <c r="I95" s="35">
        <f t="shared" si="4"/>
        <v>100</v>
      </c>
      <c r="J95" s="35">
        <f t="shared" si="5"/>
        <v>100</v>
      </c>
    </row>
    <row r="96" spans="1:10" ht="63">
      <c r="A96" s="19" t="s">
        <v>166</v>
      </c>
      <c r="B96" s="19" t="s">
        <v>42</v>
      </c>
      <c r="C96" s="37" t="s">
        <v>99</v>
      </c>
      <c r="D96" s="116">
        <f>'РОСПИСЬ на 30062016'!D96/12*6</f>
        <v>1550</v>
      </c>
      <c r="E96" s="125">
        <v>108.5</v>
      </c>
      <c r="F96" s="125">
        <v>108.5</v>
      </c>
      <c r="G96" s="119">
        <v>0</v>
      </c>
      <c r="H96" s="119">
        <f t="shared" si="6"/>
        <v>108.5</v>
      </c>
      <c r="I96" s="35">
        <v>0</v>
      </c>
      <c r="J96" s="35">
        <f t="shared" si="5"/>
        <v>100</v>
      </c>
    </row>
    <row r="97" spans="1:10" ht="63">
      <c r="A97" s="16"/>
      <c r="B97" s="16"/>
      <c r="C97" s="17" t="s">
        <v>105</v>
      </c>
      <c r="D97" s="115">
        <f>D98+D99+D100+D101</f>
        <v>15855.7</v>
      </c>
      <c r="E97" s="115">
        <f>E98+E99+E100+E101</f>
        <v>15855.7</v>
      </c>
      <c r="F97" s="115">
        <f>F98+F99+F100+F101</f>
        <v>15855.7</v>
      </c>
      <c r="G97" s="115">
        <f>G98+G99+G100+G101</f>
        <v>0</v>
      </c>
      <c r="H97" s="115">
        <f>H98+H99+H100+H101</f>
        <v>15855.7</v>
      </c>
      <c r="I97" s="35">
        <f t="shared" si="4"/>
        <v>100</v>
      </c>
      <c r="J97" s="35">
        <f t="shared" si="5"/>
        <v>100</v>
      </c>
    </row>
    <row r="98" spans="1:10" ht="78.75">
      <c r="A98" s="19" t="s">
        <v>167</v>
      </c>
      <c r="B98" s="19" t="s">
        <v>42</v>
      </c>
      <c r="C98" s="20" t="s">
        <v>32</v>
      </c>
      <c r="D98" s="126">
        <v>14000</v>
      </c>
      <c r="E98" s="125">
        <v>14000</v>
      </c>
      <c r="F98" s="125">
        <v>14000</v>
      </c>
      <c r="G98" s="119">
        <v>0</v>
      </c>
      <c r="H98" s="119">
        <f t="shared" si="6"/>
        <v>14000</v>
      </c>
      <c r="I98" s="35">
        <f>E98*100/D98</f>
        <v>100</v>
      </c>
      <c r="J98" s="35">
        <f t="shared" si="5"/>
        <v>100</v>
      </c>
    </row>
    <row r="99" spans="1:10" ht="94.5">
      <c r="A99" s="19" t="s">
        <v>167</v>
      </c>
      <c r="B99" s="19" t="s">
        <v>42</v>
      </c>
      <c r="C99" s="20" t="s">
        <v>60</v>
      </c>
      <c r="D99" s="116">
        <v>0</v>
      </c>
      <c r="E99" s="125">
        <v>0</v>
      </c>
      <c r="F99" s="125">
        <v>0</v>
      </c>
      <c r="G99" s="119">
        <v>0</v>
      </c>
      <c r="H99" s="119">
        <f t="shared" si="6"/>
        <v>0</v>
      </c>
      <c r="I99" s="35">
        <v>0</v>
      </c>
      <c r="J99" s="35">
        <v>0</v>
      </c>
    </row>
    <row r="100" spans="1:10" ht="15.75">
      <c r="A100" s="19" t="s">
        <v>168</v>
      </c>
      <c r="B100" s="19" t="s">
        <v>47</v>
      </c>
      <c r="C100" s="20" t="s">
        <v>69</v>
      </c>
      <c r="D100" s="116">
        <v>0</v>
      </c>
      <c r="E100" s="125">
        <v>0</v>
      </c>
      <c r="F100" s="125">
        <v>0</v>
      </c>
      <c r="G100" s="119">
        <v>0</v>
      </c>
      <c r="H100" s="119">
        <f t="shared" si="6"/>
        <v>0</v>
      </c>
      <c r="I100" s="35">
        <v>0</v>
      </c>
      <c r="J100" s="35">
        <v>0</v>
      </c>
    </row>
    <row r="101" spans="1:10" ht="47.25">
      <c r="A101" s="19"/>
      <c r="B101" s="19"/>
      <c r="C101" s="3" t="s">
        <v>113</v>
      </c>
      <c r="D101" s="126">
        <f>D102+D103</f>
        <v>1855.7</v>
      </c>
      <c r="E101" s="133">
        <f>E102+E103</f>
        <v>1855.7</v>
      </c>
      <c r="F101" s="133">
        <f>F102+F103</f>
        <v>1855.7</v>
      </c>
      <c r="G101" s="126">
        <f>G102+G103</f>
        <v>0</v>
      </c>
      <c r="H101" s="126">
        <f>H102+H103</f>
        <v>1855.7</v>
      </c>
      <c r="I101" s="35">
        <f aca="true" t="shared" si="7" ref="I101:I110">E101*100/D101</f>
        <v>100</v>
      </c>
      <c r="J101" s="35">
        <f t="shared" si="5"/>
        <v>100</v>
      </c>
    </row>
    <row r="102" spans="1:10" ht="94.5">
      <c r="A102" s="19" t="s">
        <v>169</v>
      </c>
      <c r="B102" s="19" t="s">
        <v>42</v>
      </c>
      <c r="C102" s="20" t="s">
        <v>65</v>
      </c>
      <c r="D102" s="116">
        <v>1836</v>
      </c>
      <c r="E102" s="125">
        <v>1836</v>
      </c>
      <c r="F102" s="125">
        <v>1836</v>
      </c>
      <c r="G102" s="119">
        <v>0</v>
      </c>
      <c r="H102" s="119">
        <f t="shared" si="6"/>
        <v>1836</v>
      </c>
      <c r="I102" s="35">
        <f t="shared" si="7"/>
        <v>100</v>
      </c>
      <c r="J102" s="35">
        <f t="shared" si="5"/>
        <v>100</v>
      </c>
    </row>
    <row r="103" spans="1:10" ht="15.75">
      <c r="A103" s="19" t="s">
        <v>170</v>
      </c>
      <c r="B103" s="19" t="s">
        <v>41</v>
      </c>
      <c r="C103" s="20" t="s">
        <v>43</v>
      </c>
      <c r="D103" s="120">
        <v>19.7</v>
      </c>
      <c r="E103" s="130">
        <v>19.7</v>
      </c>
      <c r="F103" s="130">
        <v>19.7</v>
      </c>
      <c r="G103" s="116">
        <v>0</v>
      </c>
      <c r="H103" s="119">
        <f t="shared" si="6"/>
        <v>19.7</v>
      </c>
      <c r="I103" s="35">
        <f t="shared" si="7"/>
        <v>100</v>
      </c>
      <c r="J103" s="35">
        <f t="shared" si="5"/>
        <v>100</v>
      </c>
    </row>
    <row r="104" spans="1:10" ht="15.75">
      <c r="A104" s="16" t="s">
        <v>53</v>
      </c>
      <c r="B104" s="47"/>
      <c r="C104" s="15" t="s">
        <v>11</v>
      </c>
      <c r="D104" s="116">
        <f>D105</f>
        <v>0</v>
      </c>
      <c r="E104" s="130">
        <f>E105</f>
        <v>0</v>
      </c>
      <c r="F104" s="130">
        <f>F105</f>
        <v>0</v>
      </c>
      <c r="G104" s="116">
        <f>G105</f>
        <v>0</v>
      </c>
      <c r="H104" s="116">
        <f>H105</f>
        <v>0</v>
      </c>
      <c r="I104" s="35">
        <v>0</v>
      </c>
      <c r="J104" s="35">
        <v>0</v>
      </c>
    </row>
    <row r="105" spans="1:10" ht="94.5">
      <c r="A105" s="19" t="s">
        <v>171</v>
      </c>
      <c r="B105" s="19" t="s">
        <v>54</v>
      </c>
      <c r="C105" s="12" t="s">
        <v>28</v>
      </c>
      <c r="D105" s="116">
        <v>0</v>
      </c>
      <c r="E105" s="125">
        <v>0</v>
      </c>
      <c r="F105" s="125">
        <v>0</v>
      </c>
      <c r="G105" s="119">
        <v>0</v>
      </c>
      <c r="H105" s="119">
        <f t="shared" si="6"/>
        <v>0</v>
      </c>
      <c r="I105" s="35">
        <v>0</v>
      </c>
      <c r="J105" s="35">
        <v>0</v>
      </c>
    </row>
    <row r="106" spans="1:10" ht="31.5">
      <c r="A106" s="23" t="s">
        <v>12</v>
      </c>
      <c r="B106" s="23"/>
      <c r="C106" s="31" t="s">
        <v>13</v>
      </c>
      <c r="D106" s="115">
        <f>D107+D108+D109+D112+D115</f>
        <v>56210.3</v>
      </c>
      <c r="E106" s="128">
        <f>E107+E108+E110+E112+E115</f>
        <v>54676.7</v>
      </c>
      <c r="F106" s="128">
        <f>F107+F108+F110+F112+F115</f>
        <v>54676.7</v>
      </c>
      <c r="G106" s="128">
        <f>G107+G108+G110+G112+G115</f>
        <v>1986.7</v>
      </c>
      <c r="H106" s="124">
        <f t="shared" si="6"/>
        <v>56663.4</v>
      </c>
      <c r="I106" s="62">
        <f t="shared" si="7"/>
        <v>97</v>
      </c>
      <c r="J106" s="62">
        <f t="shared" si="5"/>
        <v>96</v>
      </c>
    </row>
    <row r="107" spans="1:10" ht="126">
      <c r="A107" s="16" t="s">
        <v>172</v>
      </c>
      <c r="B107" s="16"/>
      <c r="C107" s="17" t="s">
        <v>203</v>
      </c>
      <c r="D107" s="116">
        <f>'РОСПИСЬ на 30062016'!D107/12*6</f>
        <v>45056.1</v>
      </c>
      <c r="E107" s="125">
        <v>43237.5</v>
      </c>
      <c r="F107" s="125">
        <v>43237.5</v>
      </c>
      <c r="G107" s="134">
        <v>1986.7</v>
      </c>
      <c r="H107" s="119">
        <f t="shared" si="6"/>
        <v>45224.2</v>
      </c>
      <c r="I107" s="35">
        <f t="shared" si="7"/>
        <v>96</v>
      </c>
      <c r="J107" s="35">
        <f t="shared" si="5"/>
        <v>96</v>
      </c>
    </row>
    <row r="108" spans="1:10" ht="31.5">
      <c r="A108" s="111" t="s">
        <v>201</v>
      </c>
      <c r="B108" s="112">
        <v>262200</v>
      </c>
      <c r="C108" s="112" t="s">
        <v>202</v>
      </c>
      <c r="D108" s="116">
        <f>'РОСПИСЬ на 30062016'!D108/12*6</f>
        <v>10000</v>
      </c>
      <c r="E108" s="130">
        <v>10285</v>
      </c>
      <c r="F108" s="130">
        <v>10285</v>
      </c>
      <c r="G108" s="116">
        <f>G109+G110</f>
        <v>0</v>
      </c>
      <c r="H108" s="116">
        <f>H109+H110</f>
        <v>2308.4</v>
      </c>
      <c r="I108" s="35">
        <f t="shared" si="7"/>
        <v>103</v>
      </c>
      <c r="J108" s="35">
        <f t="shared" si="5"/>
        <v>446</v>
      </c>
    </row>
    <row r="109" spans="1:10" ht="63">
      <c r="A109" s="19"/>
      <c r="B109" s="19"/>
      <c r="C109" s="17" t="s">
        <v>117</v>
      </c>
      <c r="D109" s="126">
        <f>D110+D111</f>
        <v>1154.2</v>
      </c>
      <c r="E109" s="126">
        <f>E110+E111</f>
        <v>1154.2</v>
      </c>
      <c r="F109" s="126">
        <f>F110+F111</f>
        <v>1154.2</v>
      </c>
      <c r="G109" s="126">
        <f>G110+G111</f>
        <v>0</v>
      </c>
      <c r="H109" s="119">
        <f t="shared" si="6"/>
        <v>1154.2</v>
      </c>
      <c r="I109" s="35">
        <f t="shared" si="7"/>
        <v>100</v>
      </c>
      <c r="J109" s="35">
        <f t="shared" si="5"/>
        <v>100</v>
      </c>
    </row>
    <row r="110" spans="1:10" ht="15.75">
      <c r="A110" s="19" t="s">
        <v>160</v>
      </c>
      <c r="B110" s="19" t="s">
        <v>41</v>
      </c>
      <c r="C110" s="20" t="s">
        <v>43</v>
      </c>
      <c r="D110" s="116">
        <f>'РОСПИСЬ на 30062016'!D110</f>
        <v>1154.2</v>
      </c>
      <c r="E110" s="125">
        <v>1154.2</v>
      </c>
      <c r="F110" s="125">
        <v>1154.2</v>
      </c>
      <c r="G110" s="119">
        <v>0</v>
      </c>
      <c r="H110" s="124">
        <f t="shared" si="6"/>
        <v>1154.2</v>
      </c>
      <c r="I110" s="35">
        <f t="shared" si="7"/>
        <v>100</v>
      </c>
      <c r="J110" s="35">
        <f t="shared" si="5"/>
        <v>100</v>
      </c>
    </row>
    <row r="111" spans="1:10" ht="15.75">
      <c r="A111" s="19" t="s">
        <v>193</v>
      </c>
      <c r="B111" s="19" t="s">
        <v>41</v>
      </c>
      <c r="C111" s="20" t="s">
        <v>43</v>
      </c>
      <c r="D111" s="116">
        <v>0</v>
      </c>
      <c r="E111" s="124">
        <v>0</v>
      </c>
      <c r="F111" s="124">
        <v>0</v>
      </c>
      <c r="G111" s="119"/>
      <c r="H111" s="119"/>
      <c r="I111" s="35">
        <v>0</v>
      </c>
      <c r="J111" s="35">
        <v>0</v>
      </c>
    </row>
    <row r="112" spans="1:10" ht="31.5">
      <c r="A112" s="15"/>
      <c r="B112" s="11"/>
      <c r="C112" s="17" t="s">
        <v>70</v>
      </c>
      <c r="D112" s="119">
        <f>D113+D114</f>
        <v>0</v>
      </c>
      <c r="E112" s="119">
        <f>E113+E114</f>
        <v>0</v>
      </c>
      <c r="F112" s="119">
        <f>F113+F114</f>
        <v>0</v>
      </c>
      <c r="G112" s="119">
        <f>G113+G114</f>
        <v>0</v>
      </c>
      <c r="H112" s="119">
        <f>H113+H114</f>
        <v>0</v>
      </c>
      <c r="I112" s="35">
        <v>0</v>
      </c>
      <c r="J112" s="35">
        <v>0</v>
      </c>
    </row>
    <row r="113" spans="1:10" ht="31.5">
      <c r="A113" s="11" t="s">
        <v>173</v>
      </c>
      <c r="B113" s="11" t="s">
        <v>46</v>
      </c>
      <c r="C113" s="4" t="s">
        <v>61</v>
      </c>
      <c r="D113" s="119">
        <v>0</v>
      </c>
      <c r="E113" s="124">
        <v>0</v>
      </c>
      <c r="F113" s="124">
        <v>0</v>
      </c>
      <c r="G113" s="119">
        <v>0</v>
      </c>
      <c r="H113" s="119">
        <v>0</v>
      </c>
      <c r="I113" s="35">
        <v>0</v>
      </c>
      <c r="J113" s="35">
        <v>0</v>
      </c>
    </row>
    <row r="114" spans="1:10" ht="15.75">
      <c r="A114" s="11" t="s">
        <v>173</v>
      </c>
      <c r="B114" s="12">
        <v>226900</v>
      </c>
      <c r="C114" s="107" t="s">
        <v>197</v>
      </c>
      <c r="D114" s="119">
        <v>0</v>
      </c>
      <c r="E114" s="124">
        <v>0</v>
      </c>
      <c r="F114" s="124">
        <v>0</v>
      </c>
      <c r="G114" s="119">
        <v>0</v>
      </c>
      <c r="H114" s="119">
        <v>0</v>
      </c>
      <c r="I114" s="35">
        <v>0</v>
      </c>
      <c r="J114" s="35">
        <v>0</v>
      </c>
    </row>
    <row r="115" spans="1:10" ht="31.5">
      <c r="A115" s="108"/>
      <c r="B115" s="108"/>
      <c r="C115" s="17" t="s">
        <v>198</v>
      </c>
      <c r="D115" s="119">
        <f>D116+D117</f>
        <v>0</v>
      </c>
      <c r="E115" s="119">
        <f>E116+E117</f>
        <v>0</v>
      </c>
      <c r="F115" s="119">
        <f>F116+F117</f>
        <v>0</v>
      </c>
      <c r="G115" s="119">
        <f>G116+G117</f>
        <v>0</v>
      </c>
      <c r="H115" s="119">
        <f>H116+H117</f>
        <v>0</v>
      </c>
      <c r="I115" s="35">
        <v>0</v>
      </c>
      <c r="J115" s="35">
        <v>0</v>
      </c>
    </row>
    <row r="116" spans="1:10" ht="31.5">
      <c r="A116" s="11" t="s">
        <v>199</v>
      </c>
      <c r="B116" s="11" t="s">
        <v>46</v>
      </c>
      <c r="C116" s="4" t="s">
        <v>61</v>
      </c>
      <c r="D116" s="119">
        <v>0</v>
      </c>
      <c r="E116" s="124">
        <v>0</v>
      </c>
      <c r="F116" s="124">
        <v>0</v>
      </c>
      <c r="G116" s="119">
        <v>0</v>
      </c>
      <c r="H116" s="119">
        <v>0</v>
      </c>
      <c r="I116" s="35">
        <v>0</v>
      </c>
      <c r="J116" s="35">
        <v>0</v>
      </c>
    </row>
    <row r="117" spans="1:10" ht="15.75">
      <c r="A117" s="11" t="s">
        <v>200</v>
      </c>
      <c r="B117" s="19" t="s">
        <v>41</v>
      </c>
      <c r="C117" s="20" t="s">
        <v>43</v>
      </c>
      <c r="D117" s="119">
        <v>0</v>
      </c>
      <c r="E117" s="124">
        <v>0</v>
      </c>
      <c r="F117" s="124">
        <v>0</v>
      </c>
      <c r="G117" s="119">
        <v>0</v>
      </c>
      <c r="H117" s="119">
        <v>0</v>
      </c>
      <c r="I117" s="35">
        <v>0</v>
      </c>
      <c r="J117" s="35">
        <v>0</v>
      </c>
    </row>
    <row r="119" ht="15.75">
      <c r="H119" s="5">
        <f>14319.24+2339.91+21282.43</f>
        <v>37941.58</v>
      </c>
    </row>
  </sheetData>
  <sheetProtection/>
  <mergeCells count="7">
    <mergeCell ref="A2:J2"/>
    <mergeCell ref="A3:A4"/>
    <mergeCell ref="B3:B4"/>
    <mergeCell ref="C3:C4"/>
    <mergeCell ref="D3:H3"/>
    <mergeCell ref="I3:I4"/>
    <mergeCell ref="J3:J4"/>
  </mergeCells>
  <printOptions horizontalCentered="1"/>
  <pageMargins left="0.1968503937007874" right="0.1968503937007874" top="0.2362204724409449" bottom="0.2362204724409449" header="0.31496062992125984" footer="0.31496062992125984"/>
  <pageSetup fitToHeight="6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3:I120"/>
  <sheetViews>
    <sheetView view="pageBreakPreview" zoomScaleNormal="80" zoomScaleSheetLayoutView="100" zoomScalePageLayoutView="0" workbookViewId="0" topLeftCell="A1">
      <pane xSplit="4" ySplit="5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4" sqref="A4"/>
    </sheetView>
  </sheetViews>
  <sheetFormatPr defaultColWidth="9.140625" defaultRowHeight="12.75"/>
  <cols>
    <col min="1" max="1" width="28.140625" style="5" customWidth="1"/>
    <col min="2" max="2" width="10.8515625" style="5" customWidth="1"/>
    <col min="3" max="3" width="43.28125" style="5" customWidth="1"/>
    <col min="4" max="4" width="18.140625" style="57" customWidth="1"/>
    <col min="5" max="5" width="16.140625" style="5" customWidth="1"/>
    <col min="6" max="6" width="15.7109375" style="5" customWidth="1"/>
    <col min="7" max="7" width="16.7109375" style="5" customWidth="1"/>
    <col min="8" max="10" width="7.421875" style="5" customWidth="1"/>
    <col min="11" max="16384" width="9.140625" style="5" customWidth="1"/>
  </cols>
  <sheetData>
    <row r="3" spans="1:4" ht="88.5" customHeight="1">
      <c r="A3" s="170" t="s">
        <v>210</v>
      </c>
      <c r="B3" s="170"/>
      <c r="C3" s="170"/>
      <c r="D3" s="170"/>
    </row>
    <row r="4" spans="1:5" s="8" customFormat="1" ht="31.5">
      <c r="A4" s="6" t="s">
        <v>0</v>
      </c>
      <c r="B4" s="6" t="s">
        <v>17</v>
      </c>
      <c r="C4" s="6" t="s">
        <v>1</v>
      </c>
      <c r="D4" s="54" t="s">
        <v>118</v>
      </c>
      <c r="E4" s="105"/>
    </row>
    <row r="5" spans="1:5" s="8" customFormat="1" ht="15.75">
      <c r="A5" s="6">
        <v>1</v>
      </c>
      <c r="B5" s="6">
        <f>A5+1</f>
        <v>2</v>
      </c>
      <c r="C5" s="6">
        <f>B5+1</f>
        <v>3</v>
      </c>
      <c r="D5" s="54">
        <f>C5+1</f>
        <v>4</v>
      </c>
      <c r="E5" s="105"/>
    </row>
    <row r="6" spans="1:5" s="8" customFormat="1" ht="31.5">
      <c r="A6" s="6"/>
      <c r="B6" s="6"/>
      <c r="C6" s="9" t="s">
        <v>188</v>
      </c>
      <c r="D6" s="95">
        <f>D7+D10+D15+D20</f>
        <v>4353148.4</v>
      </c>
      <c r="E6" s="105"/>
    </row>
    <row r="7" spans="1:5" s="8" customFormat="1" ht="15.75">
      <c r="A7" s="9" t="s">
        <v>5</v>
      </c>
      <c r="B7" s="6"/>
      <c r="C7" s="9" t="s">
        <v>4</v>
      </c>
      <c r="D7" s="96">
        <f>D8+D9</f>
        <v>12833.2</v>
      </c>
      <c r="E7" s="105"/>
    </row>
    <row r="8" spans="1:5" s="13" customFormat="1" ht="89.25" customHeight="1">
      <c r="A8" s="11" t="s">
        <v>190</v>
      </c>
      <c r="B8" s="12">
        <v>242000</v>
      </c>
      <c r="C8" s="12" t="s">
        <v>189</v>
      </c>
      <c r="D8" s="97">
        <v>12683.2</v>
      </c>
      <c r="E8" s="105"/>
    </row>
    <row r="9" spans="1:5" s="13" customFormat="1" ht="49.5" customHeight="1">
      <c r="A9" s="11" t="s">
        <v>178</v>
      </c>
      <c r="B9" s="12">
        <v>290900</v>
      </c>
      <c r="C9" s="12" t="s">
        <v>181</v>
      </c>
      <c r="D9" s="97">
        <v>150</v>
      </c>
      <c r="E9" s="105"/>
    </row>
    <row r="10" spans="1:5" s="13" customFormat="1" ht="15.75">
      <c r="A10" s="9" t="s">
        <v>6</v>
      </c>
      <c r="B10" s="9"/>
      <c r="C10" s="9" t="s">
        <v>7</v>
      </c>
      <c r="D10" s="96">
        <f>SUM(D11:D14)</f>
        <v>380.7</v>
      </c>
      <c r="E10" s="105"/>
    </row>
    <row r="11" spans="1:5" s="14" customFormat="1" ht="32.25" customHeight="1">
      <c r="A11" s="11" t="s">
        <v>179</v>
      </c>
      <c r="B11" s="12">
        <v>226900</v>
      </c>
      <c r="C11" s="12" t="s">
        <v>20</v>
      </c>
      <c r="D11" s="97">
        <v>200</v>
      </c>
      <c r="E11" s="105"/>
    </row>
    <row r="12" spans="1:5" s="14" customFormat="1" ht="22.5" customHeight="1">
      <c r="A12" s="11" t="s">
        <v>180</v>
      </c>
      <c r="B12" s="12">
        <v>212101</v>
      </c>
      <c r="C12" s="12" t="s">
        <v>58</v>
      </c>
      <c r="D12" s="97">
        <v>40</v>
      </c>
      <c r="E12" s="105"/>
    </row>
    <row r="13" spans="1:5" s="14" customFormat="1" ht="31.5">
      <c r="A13" s="11" t="s">
        <v>180</v>
      </c>
      <c r="B13" s="12">
        <v>222101</v>
      </c>
      <c r="C13" s="12" t="s">
        <v>56</v>
      </c>
      <c r="D13" s="97">
        <v>15</v>
      </c>
      <c r="E13" s="105"/>
    </row>
    <row r="14" spans="1:5" s="14" customFormat="1" ht="47.25">
      <c r="A14" s="11" t="s">
        <v>180</v>
      </c>
      <c r="B14" s="12">
        <v>212103</v>
      </c>
      <c r="C14" s="12" t="s">
        <v>57</v>
      </c>
      <c r="D14" s="97">
        <v>125.7</v>
      </c>
      <c r="E14" s="105"/>
    </row>
    <row r="15" spans="1:5" s="14" customFormat="1" ht="47.25">
      <c r="A15" s="15"/>
      <c r="B15" s="9"/>
      <c r="C15" s="9" t="s">
        <v>112</v>
      </c>
      <c r="D15" s="96">
        <f>D16+D17+D18+D19</f>
        <v>109024.7</v>
      </c>
      <c r="E15" s="105"/>
    </row>
    <row r="16" spans="1:5" s="14" customFormat="1" ht="31.5">
      <c r="A16" s="11" t="s">
        <v>127</v>
      </c>
      <c r="B16" s="12">
        <v>226900</v>
      </c>
      <c r="C16" s="12" t="s">
        <v>30</v>
      </c>
      <c r="D16" s="97">
        <f>51000-4609.2</f>
        <v>46390.8</v>
      </c>
      <c r="E16" s="105"/>
    </row>
    <row r="17" spans="1:5" s="14" customFormat="1" ht="15.75">
      <c r="A17" s="11" t="s">
        <v>128</v>
      </c>
      <c r="B17" s="12">
        <v>262200</v>
      </c>
      <c r="C17" s="12" t="s">
        <v>68</v>
      </c>
      <c r="D17" s="97">
        <v>1500</v>
      </c>
      <c r="E17" s="105"/>
    </row>
    <row r="18" spans="1:5" s="14" customFormat="1" ht="31.5">
      <c r="A18" s="11" t="s">
        <v>126</v>
      </c>
      <c r="B18" s="12">
        <v>251000</v>
      </c>
      <c r="C18" s="12" t="s">
        <v>30</v>
      </c>
      <c r="D18" s="97">
        <v>11831.4</v>
      </c>
      <c r="E18" s="105"/>
    </row>
    <row r="19" spans="1:5" s="14" customFormat="1" ht="47.25">
      <c r="A19" s="11" t="s">
        <v>191</v>
      </c>
      <c r="B19" s="12">
        <v>226900</v>
      </c>
      <c r="C19" s="12" t="s">
        <v>192</v>
      </c>
      <c r="D19" s="97">
        <v>49302.5</v>
      </c>
      <c r="E19" s="105"/>
    </row>
    <row r="20" spans="1:5" s="14" customFormat="1" ht="15.75">
      <c r="A20" s="2" t="s">
        <v>92</v>
      </c>
      <c r="B20" s="33"/>
      <c r="C20" s="1" t="s">
        <v>93</v>
      </c>
      <c r="D20" s="96">
        <f>D21+D24+D59+D106+D49</f>
        <v>4230909.8</v>
      </c>
      <c r="E20" s="105"/>
    </row>
    <row r="21" spans="1:5" s="18" customFormat="1" ht="47.25">
      <c r="A21" s="16" t="s">
        <v>62</v>
      </c>
      <c r="B21" s="16"/>
      <c r="C21" s="17" t="s">
        <v>21</v>
      </c>
      <c r="D21" s="96">
        <f>SUM(D22:D23)</f>
        <v>231344.8</v>
      </c>
      <c r="E21" s="105"/>
    </row>
    <row r="22" spans="1:5" s="18" customFormat="1" ht="47.25">
      <c r="A22" s="19" t="s">
        <v>129</v>
      </c>
      <c r="B22" s="19" t="s">
        <v>44</v>
      </c>
      <c r="C22" s="20" t="s">
        <v>63</v>
      </c>
      <c r="D22" s="97">
        <v>134259.8</v>
      </c>
      <c r="E22" s="105"/>
    </row>
    <row r="23" spans="1:5" s="18" customFormat="1" ht="63">
      <c r="A23" s="19" t="s">
        <v>130</v>
      </c>
      <c r="B23" s="19" t="s">
        <v>44</v>
      </c>
      <c r="C23" s="20" t="s">
        <v>64</v>
      </c>
      <c r="D23" s="97">
        <v>97085</v>
      </c>
      <c r="E23" s="105"/>
    </row>
    <row r="24" spans="1:5" s="18" customFormat="1" ht="15.75">
      <c r="A24" s="16" t="s">
        <v>71</v>
      </c>
      <c r="B24" s="16"/>
      <c r="C24" s="17" t="s">
        <v>72</v>
      </c>
      <c r="D24" s="96">
        <f>D25+D36+D47</f>
        <v>887049.7</v>
      </c>
      <c r="E24" s="105"/>
    </row>
    <row r="25" spans="1:5" s="18" customFormat="1" ht="31.5">
      <c r="A25" s="16" t="s">
        <v>131</v>
      </c>
      <c r="B25" s="16"/>
      <c r="C25" s="3" t="s">
        <v>73</v>
      </c>
      <c r="D25" s="96">
        <f>D26+D34+D35</f>
        <v>298115.4</v>
      </c>
      <c r="E25" s="105"/>
    </row>
    <row r="26" spans="1:5" s="43" customFormat="1" ht="31.5">
      <c r="A26" s="44"/>
      <c r="B26" s="44"/>
      <c r="C26" s="42" t="s">
        <v>74</v>
      </c>
      <c r="D26" s="97">
        <f>D27+D28+D29+D30+D31+D32+D33</f>
        <v>211243.3</v>
      </c>
      <c r="E26" s="105"/>
    </row>
    <row r="27" spans="1:5" s="43" customFormat="1" ht="15.75">
      <c r="A27" s="38" t="s">
        <v>132</v>
      </c>
      <c r="B27" s="41" t="s">
        <v>75</v>
      </c>
      <c r="C27" s="39" t="s">
        <v>86</v>
      </c>
      <c r="D27" s="106">
        <v>156569.68</v>
      </c>
      <c r="E27" s="105"/>
    </row>
    <row r="28" spans="1:5" s="43" customFormat="1" ht="15.75">
      <c r="A28" s="38"/>
      <c r="B28" s="41" t="s">
        <v>31</v>
      </c>
      <c r="C28" s="39" t="s">
        <v>76</v>
      </c>
      <c r="D28" s="97">
        <v>545.7</v>
      </c>
      <c r="E28" s="105"/>
    </row>
    <row r="29" spans="1:5" s="43" customFormat="1" ht="15.75">
      <c r="A29" s="38"/>
      <c r="B29" s="41" t="s">
        <v>77</v>
      </c>
      <c r="C29" s="39" t="s">
        <v>78</v>
      </c>
      <c r="D29" s="97">
        <v>22360.3</v>
      </c>
      <c r="E29" s="105"/>
    </row>
    <row r="30" spans="1:5" s="43" customFormat="1" ht="15.75">
      <c r="A30" s="38"/>
      <c r="B30" s="41" t="s">
        <v>79</v>
      </c>
      <c r="C30" s="39" t="s">
        <v>80</v>
      </c>
      <c r="D30" s="97">
        <v>18406.1</v>
      </c>
      <c r="E30" s="105"/>
    </row>
    <row r="31" spans="1:5" s="43" customFormat="1" ht="15.75">
      <c r="A31" s="38"/>
      <c r="B31" s="41" t="s">
        <v>81</v>
      </c>
      <c r="C31" s="39" t="s">
        <v>82</v>
      </c>
      <c r="D31" s="97">
        <v>1111.3</v>
      </c>
      <c r="E31" s="105"/>
    </row>
    <row r="32" spans="1:5" s="43" customFormat="1" ht="15.75">
      <c r="A32" s="38"/>
      <c r="B32" s="41" t="s">
        <v>83</v>
      </c>
      <c r="C32" s="39" t="s">
        <v>84</v>
      </c>
      <c r="D32" s="97">
        <v>8762.3</v>
      </c>
      <c r="E32" s="105"/>
    </row>
    <row r="33" spans="1:7" s="43" customFormat="1" ht="15.75">
      <c r="A33" s="38"/>
      <c r="B33" s="41"/>
      <c r="C33" s="39" t="s">
        <v>85</v>
      </c>
      <c r="D33" s="97">
        <v>3487.9</v>
      </c>
      <c r="E33" s="105"/>
      <c r="G33" s="114">
        <f>D34+D35+D45+D46</f>
        <v>131461.9</v>
      </c>
    </row>
    <row r="34" spans="1:5" s="43" customFormat="1" ht="15.75">
      <c r="A34" s="27" t="s">
        <v>133</v>
      </c>
      <c r="B34" s="27"/>
      <c r="C34" s="28" t="s">
        <v>87</v>
      </c>
      <c r="D34" s="96">
        <v>2152.3</v>
      </c>
      <c r="E34" s="105"/>
    </row>
    <row r="35" spans="1:5" s="43" customFormat="1" ht="31.5">
      <c r="A35" s="27" t="s">
        <v>134</v>
      </c>
      <c r="B35" s="27"/>
      <c r="C35" s="28" t="s">
        <v>88</v>
      </c>
      <c r="D35" s="96">
        <f>83219.8+1500</f>
        <v>84719.8</v>
      </c>
      <c r="E35" s="105"/>
    </row>
    <row r="36" spans="1:5" s="43" customFormat="1" ht="31.5">
      <c r="A36" s="44" t="s">
        <v>131</v>
      </c>
      <c r="B36" s="44"/>
      <c r="C36" s="28" t="s">
        <v>89</v>
      </c>
      <c r="D36" s="96">
        <f>D37+D45+D46</f>
        <v>581982.7</v>
      </c>
      <c r="E36" s="105"/>
    </row>
    <row r="37" spans="1:5" s="43" customFormat="1" ht="31.5">
      <c r="A37" s="44"/>
      <c r="B37" s="44"/>
      <c r="C37" s="42" t="s">
        <v>74</v>
      </c>
      <c r="D37" s="97">
        <f>D38+D39+D40+D41+D42+D43+D44</f>
        <v>537392.9</v>
      </c>
      <c r="E37" s="105"/>
    </row>
    <row r="38" spans="1:5" s="43" customFormat="1" ht="15.75">
      <c r="A38" s="48" t="s">
        <v>132</v>
      </c>
      <c r="B38" s="41" t="s">
        <v>75</v>
      </c>
      <c r="C38" s="39" t="s">
        <v>90</v>
      </c>
      <c r="D38" s="97">
        <v>437191.4</v>
      </c>
      <c r="E38" s="105"/>
    </row>
    <row r="39" spans="1:5" s="43" customFormat="1" ht="15.75">
      <c r="A39" s="44"/>
      <c r="B39" s="41" t="s">
        <v>31</v>
      </c>
      <c r="C39" s="39" t="s">
        <v>76</v>
      </c>
      <c r="D39" s="97">
        <f>2138.4+26.8</f>
        <v>2165.2</v>
      </c>
      <c r="E39" s="105"/>
    </row>
    <row r="40" spans="1:5" s="43" customFormat="1" ht="15.75">
      <c r="A40" s="44"/>
      <c r="B40" s="41" t="s">
        <v>77</v>
      </c>
      <c r="C40" s="39" t="s">
        <v>78</v>
      </c>
      <c r="D40" s="97">
        <f>21790.1-300.1</f>
        <v>21490</v>
      </c>
      <c r="E40" s="105"/>
    </row>
    <row r="41" spans="1:5" s="43" customFormat="1" ht="15.75">
      <c r="A41" s="44"/>
      <c r="B41" s="41" t="s">
        <v>79</v>
      </c>
      <c r="C41" s="39" t="s">
        <v>80</v>
      </c>
      <c r="D41" s="97">
        <v>39048.6</v>
      </c>
      <c r="E41" s="105"/>
    </row>
    <row r="42" spans="1:5" s="43" customFormat="1" ht="15.75">
      <c r="A42" s="44"/>
      <c r="B42" s="41" t="s">
        <v>81</v>
      </c>
      <c r="C42" s="39" t="s">
        <v>82</v>
      </c>
      <c r="D42" s="97">
        <f>3312.2-4.23</f>
        <v>3308</v>
      </c>
      <c r="E42" s="105"/>
    </row>
    <row r="43" spans="1:5" s="43" customFormat="1" ht="15.75">
      <c r="A43" s="44"/>
      <c r="B43" s="41" t="s">
        <v>83</v>
      </c>
      <c r="C43" s="39" t="s">
        <v>84</v>
      </c>
      <c r="D43" s="97">
        <f>7860.2-18.83</f>
        <v>7841.4</v>
      </c>
      <c r="E43" s="105"/>
    </row>
    <row r="44" spans="1:5" s="43" customFormat="1" ht="15.75">
      <c r="A44" s="44"/>
      <c r="B44" s="41"/>
      <c r="C44" s="39" t="s">
        <v>85</v>
      </c>
      <c r="D44" s="97">
        <f>26050+295.8+2.53</f>
        <v>26348.3</v>
      </c>
      <c r="E44" s="105"/>
    </row>
    <row r="45" spans="1:5" s="43" customFormat="1" ht="15.75">
      <c r="A45" s="27" t="s">
        <v>133</v>
      </c>
      <c r="B45" s="27"/>
      <c r="C45" s="28" t="s">
        <v>87</v>
      </c>
      <c r="D45" s="96">
        <f>38339.6-1500</f>
        <v>36839.6</v>
      </c>
      <c r="E45" s="105"/>
    </row>
    <row r="46" spans="1:5" s="43" customFormat="1" ht="31.5">
      <c r="A46" s="27" t="s">
        <v>133</v>
      </c>
      <c r="B46" s="27"/>
      <c r="C46" s="28" t="s">
        <v>88</v>
      </c>
      <c r="D46" s="96">
        <v>7750.2</v>
      </c>
      <c r="E46" s="105"/>
    </row>
    <row r="47" spans="1:5" s="43" customFormat="1" ht="63">
      <c r="A47" s="19"/>
      <c r="B47" s="19"/>
      <c r="C47" s="17" t="s">
        <v>117</v>
      </c>
      <c r="D47" s="96">
        <f>D48</f>
        <v>6951.6</v>
      </c>
      <c r="E47" s="105"/>
    </row>
    <row r="48" spans="1:5" s="43" customFormat="1" ht="15.75">
      <c r="A48" s="19" t="s">
        <v>194</v>
      </c>
      <c r="B48" s="19" t="s">
        <v>41</v>
      </c>
      <c r="C48" s="20" t="s">
        <v>43</v>
      </c>
      <c r="D48" s="97">
        <v>6951.6</v>
      </c>
      <c r="E48" s="105"/>
    </row>
    <row r="49" spans="1:5" s="43" customFormat="1" ht="47.25">
      <c r="A49" s="27" t="s">
        <v>136</v>
      </c>
      <c r="B49" s="27"/>
      <c r="C49" s="28" t="s">
        <v>106</v>
      </c>
      <c r="D49" s="96">
        <f>D50+D57+D58</f>
        <v>137748.4</v>
      </c>
      <c r="E49" s="105"/>
    </row>
    <row r="50" spans="1:5" s="43" customFormat="1" ht="47.25">
      <c r="A50" s="27" t="s">
        <v>137</v>
      </c>
      <c r="B50" s="27"/>
      <c r="C50" s="28" t="s">
        <v>111</v>
      </c>
      <c r="D50" s="96">
        <f>D51+D52+D53+D54+D55+D56</f>
        <v>124400.5</v>
      </c>
      <c r="E50" s="105"/>
    </row>
    <row r="51" spans="1:6" s="43" customFormat="1" ht="15.75">
      <c r="A51" s="59"/>
      <c r="B51" s="41" t="s">
        <v>75</v>
      </c>
      <c r="C51" s="39" t="s">
        <v>90</v>
      </c>
      <c r="D51" s="97">
        <v>96617.6</v>
      </c>
      <c r="E51" s="105"/>
      <c r="F51" s="53"/>
    </row>
    <row r="52" spans="1:5" s="43" customFormat="1" ht="15.75">
      <c r="A52" s="27"/>
      <c r="B52" s="41" t="s">
        <v>31</v>
      </c>
      <c r="C52" s="39" t="s">
        <v>76</v>
      </c>
      <c r="D52" s="97">
        <f>2960.8-41.5</f>
        <v>2919.3</v>
      </c>
      <c r="E52" s="105"/>
    </row>
    <row r="53" spans="1:5" s="43" customFormat="1" ht="15.75">
      <c r="A53" s="27"/>
      <c r="B53" s="41" t="s">
        <v>77</v>
      </c>
      <c r="C53" s="39" t="s">
        <v>78</v>
      </c>
      <c r="D53" s="97">
        <f>4090.1+53.5</f>
        <v>4143.6</v>
      </c>
      <c r="E53" s="105"/>
    </row>
    <row r="54" spans="1:5" s="43" customFormat="1" ht="31.5">
      <c r="A54" s="27"/>
      <c r="B54" s="41" t="s">
        <v>107</v>
      </c>
      <c r="C54" s="42" t="s">
        <v>108</v>
      </c>
      <c r="D54" s="97">
        <f>964.9-46.2</f>
        <v>918.7</v>
      </c>
      <c r="E54" s="105"/>
    </row>
    <row r="55" spans="1:5" s="43" customFormat="1" ht="15.75">
      <c r="A55" s="27"/>
      <c r="B55" s="41" t="s">
        <v>83</v>
      </c>
      <c r="C55" s="39" t="s">
        <v>84</v>
      </c>
      <c r="D55" s="97">
        <f>1088.7+119.6</f>
        <v>1208.3</v>
      </c>
      <c r="E55" s="105"/>
    </row>
    <row r="56" spans="1:5" s="43" customFormat="1" ht="15.75">
      <c r="A56" s="27"/>
      <c r="B56" s="41"/>
      <c r="C56" s="39" t="s">
        <v>85</v>
      </c>
      <c r="D56" s="97">
        <f>18679.1-86.1</f>
        <v>18593</v>
      </c>
      <c r="E56" s="105"/>
    </row>
    <row r="57" spans="1:5" s="43" customFormat="1" ht="63">
      <c r="A57" s="52" t="s">
        <v>208</v>
      </c>
      <c r="B57" s="27"/>
      <c r="C57" s="28" t="s">
        <v>109</v>
      </c>
      <c r="D57" s="96">
        <f>17377.7+0.68-5362.78</f>
        <v>12015.6</v>
      </c>
      <c r="E57" s="105"/>
    </row>
    <row r="58" spans="1:5" s="43" customFormat="1" ht="47.25">
      <c r="A58" s="52" t="s">
        <v>187</v>
      </c>
      <c r="B58" s="27" t="s">
        <v>185</v>
      </c>
      <c r="C58" s="28" t="s">
        <v>186</v>
      </c>
      <c r="D58" s="96">
        <v>1332.3</v>
      </c>
      <c r="E58" s="105"/>
    </row>
    <row r="59" spans="1:5" s="43" customFormat="1" ht="15.75">
      <c r="A59" s="44" t="s">
        <v>174</v>
      </c>
      <c r="B59" s="44"/>
      <c r="C59" s="45" t="s">
        <v>9</v>
      </c>
      <c r="D59" s="96">
        <f>D60+D90+D97+D104</f>
        <v>2857725.7</v>
      </c>
      <c r="E59" s="105"/>
    </row>
    <row r="60" spans="1:9" s="43" customFormat="1" ht="15.75">
      <c r="A60" s="44"/>
      <c r="B60" s="44"/>
      <c r="C60" s="45" t="s">
        <v>10</v>
      </c>
      <c r="D60" s="96">
        <f>D61+D62+D63+D64+D65+D66+D67+D68+D70+D73+D74+D75+D76+D77+D78+D81+D82+D83+D84+D87+D88+D89</f>
        <v>2806352.6</v>
      </c>
      <c r="E60" s="105"/>
      <c r="F60" s="49"/>
      <c r="G60" s="49"/>
      <c r="H60" s="49"/>
      <c r="I60" s="49"/>
    </row>
    <row r="61" spans="1:9" s="29" customFormat="1" ht="47.25">
      <c r="A61" s="27" t="s">
        <v>139</v>
      </c>
      <c r="B61" s="27"/>
      <c r="C61" s="28" t="s">
        <v>110</v>
      </c>
      <c r="D61" s="99">
        <v>214793.8</v>
      </c>
      <c r="E61" s="105"/>
      <c r="F61" s="46"/>
      <c r="G61" s="90">
        <f>D61+D63+D65+D74+D75+D76+D77+D87+D105</f>
        <v>1465380.2</v>
      </c>
      <c r="H61" s="46"/>
      <c r="I61" s="46"/>
    </row>
    <row r="62" spans="1:9" s="29" customFormat="1" ht="63">
      <c r="A62" s="27" t="s">
        <v>207</v>
      </c>
      <c r="B62" s="27"/>
      <c r="C62" s="28" t="s">
        <v>109</v>
      </c>
      <c r="D62" s="99">
        <v>5362.8</v>
      </c>
      <c r="E62" s="105"/>
      <c r="F62" s="46"/>
      <c r="G62" s="90"/>
      <c r="H62" s="46"/>
      <c r="I62" s="46"/>
    </row>
    <row r="63" spans="1:9" s="29" customFormat="1" ht="98.25" customHeight="1">
      <c r="A63" s="27" t="s">
        <v>140</v>
      </c>
      <c r="B63" s="38"/>
      <c r="C63" s="28" t="s">
        <v>33</v>
      </c>
      <c r="D63" s="99">
        <v>2790.8</v>
      </c>
      <c r="E63" s="105"/>
      <c r="F63" s="50"/>
      <c r="G63" s="46"/>
      <c r="H63" s="46"/>
      <c r="I63" s="46"/>
    </row>
    <row r="64" spans="1:5" s="29" customFormat="1" ht="110.25">
      <c r="A64" s="27" t="s">
        <v>141</v>
      </c>
      <c r="B64" s="27"/>
      <c r="C64" s="28" t="s">
        <v>16</v>
      </c>
      <c r="D64" s="99">
        <v>6358.4</v>
      </c>
      <c r="E64" s="105"/>
    </row>
    <row r="65" spans="1:6" s="29" customFormat="1" ht="78.75">
      <c r="A65" s="27" t="s">
        <v>142</v>
      </c>
      <c r="B65" s="27"/>
      <c r="C65" s="28" t="s">
        <v>22</v>
      </c>
      <c r="D65" s="99">
        <v>12257.6</v>
      </c>
      <c r="E65" s="105"/>
      <c r="F65" s="51"/>
    </row>
    <row r="66" spans="1:5" s="29" customFormat="1" ht="31.5">
      <c r="A66" s="27" t="s">
        <v>143</v>
      </c>
      <c r="B66" s="27"/>
      <c r="C66" s="28" t="s">
        <v>15</v>
      </c>
      <c r="D66" s="99">
        <v>178162.9</v>
      </c>
      <c r="E66" s="105"/>
    </row>
    <row r="67" spans="1:5" s="29" customFormat="1" ht="47.25">
      <c r="A67" s="27" t="s">
        <v>144</v>
      </c>
      <c r="B67" s="60"/>
      <c r="C67" s="52" t="s">
        <v>100</v>
      </c>
      <c r="D67" s="99">
        <v>750</v>
      </c>
      <c r="E67" s="105"/>
    </row>
    <row r="68" spans="1:5" s="29" customFormat="1" ht="31.5">
      <c r="A68" s="27" t="s">
        <v>145</v>
      </c>
      <c r="B68" s="27"/>
      <c r="C68" s="28" t="s">
        <v>101</v>
      </c>
      <c r="D68" s="99">
        <v>38650</v>
      </c>
      <c r="E68" s="105"/>
    </row>
    <row r="69" spans="1:5" s="40" customFormat="1" ht="47.25">
      <c r="A69" s="38" t="s">
        <v>146</v>
      </c>
      <c r="B69" s="38" t="s">
        <v>29</v>
      </c>
      <c r="C69" s="42" t="s">
        <v>23</v>
      </c>
      <c r="D69" s="96">
        <f>D70+D73</f>
        <v>335746.8</v>
      </c>
      <c r="E69" s="105"/>
    </row>
    <row r="70" spans="1:5" s="40" customFormat="1" ht="31.5">
      <c r="A70" s="27" t="s">
        <v>147</v>
      </c>
      <c r="B70" s="38"/>
      <c r="C70" s="28" t="s">
        <v>18</v>
      </c>
      <c r="D70" s="99">
        <f>D71+D72</f>
        <v>315600.4</v>
      </c>
      <c r="E70" s="105"/>
    </row>
    <row r="71" spans="1:5" ht="31.5">
      <c r="A71" s="23"/>
      <c r="B71" s="19" t="s">
        <v>45</v>
      </c>
      <c r="C71" s="22" t="s">
        <v>116</v>
      </c>
      <c r="D71" s="100">
        <f>1900+182304.4</f>
        <v>184204.4</v>
      </c>
      <c r="E71" s="105"/>
    </row>
    <row r="72" spans="1:6" s="26" customFormat="1" ht="31.5">
      <c r="A72" s="21"/>
      <c r="B72" s="19" t="s">
        <v>50</v>
      </c>
      <c r="C72" s="22" t="s">
        <v>34</v>
      </c>
      <c r="D72" s="100">
        <f>1900+129496</f>
        <v>131396</v>
      </c>
      <c r="E72" s="105"/>
      <c r="F72" s="25"/>
    </row>
    <row r="73" spans="1:5" ht="47.25">
      <c r="A73" s="23" t="s">
        <v>148</v>
      </c>
      <c r="B73" s="19"/>
      <c r="C73" s="3" t="s">
        <v>24</v>
      </c>
      <c r="D73" s="99">
        <v>20146.4</v>
      </c>
      <c r="E73" s="105"/>
    </row>
    <row r="74" spans="1:5" s="24" customFormat="1" ht="47.25">
      <c r="A74" s="23" t="s">
        <v>149</v>
      </c>
      <c r="B74" s="23" t="s">
        <v>2</v>
      </c>
      <c r="C74" s="3" t="s">
        <v>67</v>
      </c>
      <c r="D74" s="99">
        <v>825224.3</v>
      </c>
      <c r="E74" s="105"/>
    </row>
    <row r="75" spans="1:5" s="24" customFormat="1" ht="96.75" customHeight="1">
      <c r="A75" s="23" t="s">
        <v>150</v>
      </c>
      <c r="B75" s="23"/>
      <c r="C75" s="3" t="s">
        <v>25</v>
      </c>
      <c r="D75" s="99">
        <v>30.4</v>
      </c>
      <c r="E75" s="105"/>
    </row>
    <row r="76" spans="1:5" s="24" customFormat="1" ht="96" customHeight="1">
      <c r="A76" s="23" t="s">
        <v>151</v>
      </c>
      <c r="B76" s="23" t="s">
        <v>42</v>
      </c>
      <c r="C76" s="3" t="s">
        <v>26</v>
      </c>
      <c r="D76" s="99">
        <v>15.2</v>
      </c>
      <c r="E76" s="105"/>
    </row>
    <row r="77" spans="1:5" s="29" customFormat="1" ht="176.25" customHeight="1">
      <c r="A77" s="27" t="s">
        <v>152</v>
      </c>
      <c r="B77" s="27" t="s">
        <v>45</v>
      </c>
      <c r="C77" s="28" t="s">
        <v>39</v>
      </c>
      <c r="D77" s="99">
        <v>391068.6</v>
      </c>
      <c r="E77" s="105"/>
    </row>
    <row r="78" spans="1:5" ht="78.75">
      <c r="A78" s="16" t="s">
        <v>153</v>
      </c>
      <c r="B78" s="19"/>
      <c r="C78" s="17" t="s">
        <v>35</v>
      </c>
      <c r="D78" s="96">
        <f>D79+D80</f>
        <v>386690.6</v>
      </c>
      <c r="E78" s="105"/>
    </row>
    <row r="79" spans="1:5" s="18" customFormat="1" ht="31.5">
      <c r="A79" s="19"/>
      <c r="B79" s="19" t="s">
        <v>45</v>
      </c>
      <c r="C79" s="20" t="s">
        <v>115</v>
      </c>
      <c r="D79" s="97">
        <f>3000+257801</f>
        <v>260801</v>
      </c>
      <c r="E79" s="105"/>
    </row>
    <row r="80" spans="1:6" s="18" customFormat="1" ht="35.25" customHeight="1">
      <c r="A80" s="19"/>
      <c r="B80" s="19" t="s">
        <v>50</v>
      </c>
      <c r="C80" s="20" t="s">
        <v>36</v>
      </c>
      <c r="D80" s="97">
        <f>3000+122889.6</f>
        <v>125889.6</v>
      </c>
      <c r="E80" s="105"/>
      <c r="F80" s="30"/>
    </row>
    <row r="81" spans="1:5" s="24" customFormat="1" ht="63">
      <c r="A81" s="23" t="s">
        <v>154</v>
      </c>
      <c r="B81" s="23" t="s">
        <v>42</v>
      </c>
      <c r="C81" s="3" t="s">
        <v>27</v>
      </c>
      <c r="D81" s="99">
        <v>149662.7</v>
      </c>
      <c r="E81" s="105"/>
    </row>
    <row r="82" spans="1:5" s="24" customFormat="1" ht="48.75" customHeight="1">
      <c r="A82" s="23" t="s">
        <v>155</v>
      </c>
      <c r="B82" s="23" t="s">
        <v>45</v>
      </c>
      <c r="C82" s="3" t="s">
        <v>37</v>
      </c>
      <c r="D82" s="99">
        <v>120487.5</v>
      </c>
      <c r="E82" s="105"/>
    </row>
    <row r="83" spans="1:5" s="18" customFormat="1" ht="37.5" customHeight="1">
      <c r="A83" s="16" t="s">
        <v>156</v>
      </c>
      <c r="B83" s="16" t="s">
        <v>45</v>
      </c>
      <c r="C83" s="17" t="s">
        <v>66</v>
      </c>
      <c r="D83" s="101">
        <v>2295.4</v>
      </c>
      <c r="E83" s="105"/>
    </row>
    <row r="84" spans="1:5" s="18" customFormat="1" ht="31.5">
      <c r="A84" s="23" t="s">
        <v>157</v>
      </c>
      <c r="B84" s="16"/>
      <c r="C84" s="3" t="s">
        <v>49</v>
      </c>
      <c r="D84" s="96">
        <f>D85+D86</f>
        <v>114860.3</v>
      </c>
      <c r="E84" s="105"/>
    </row>
    <row r="85" spans="1:5" s="24" customFormat="1" ht="47.25">
      <c r="A85" s="19"/>
      <c r="B85" s="19" t="s">
        <v>50</v>
      </c>
      <c r="C85" s="20" t="s">
        <v>38</v>
      </c>
      <c r="D85" s="100">
        <f>925+14272.5</f>
        <v>15197.5</v>
      </c>
      <c r="E85" s="105"/>
    </row>
    <row r="86" spans="1:5" ht="47.25">
      <c r="A86" s="23"/>
      <c r="B86" s="19" t="s">
        <v>45</v>
      </c>
      <c r="C86" s="20" t="s">
        <v>48</v>
      </c>
      <c r="D86" s="97">
        <f>925+118737.8-20000</f>
        <v>99662.8</v>
      </c>
      <c r="E86" s="105"/>
    </row>
    <row r="87" spans="1:5" s="18" customFormat="1" ht="55.5" customHeight="1">
      <c r="A87" s="23" t="s">
        <v>158</v>
      </c>
      <c r="B87" s="16"/>
      <c r="C87" s="3" t="s">
        <v>102</v>
      </c>
      <c r="D87" s="96">
        <v>19134.5</v>
      </c>
      <c r="E87" s="105"/>
    </row>
    <row r="88" spans="1:5" ht="47.25">
      <c r="A88" s="19" t="s">
        <v>159</v>
      </c>
      <c r="B88" s="19" t="s">
        <v>41</v>
      </c>
      <c r="C88" s="61" t="s">
        <v>91</v>
      </c>
      <c r="D88" s="96">
        <v>370</v>
      </c>
      <c r="E88" s="105"/>
    </row>
    <row r="89" spans="1:5" ht="31.5">
      <c r="A89" s="27" t="s">
        <v>196</v>
      </c>
      <c r="B89" s="44" t="s">
        <v>42</v>
      </c>
      <c r="C89" s="45" t="s">
        <v>195</v>
      </c>
      <c r="D89" s="96">
        <v>1640</v>
      </c>
      <c r="E89" s="105"/>
    </row>
    <row r="90" spans="1:5" ht="47.25">
      <c r="A90" s="19"/>
      <c r="B90" s="19"/>
      <c r="C90" s="17" t="s">
        <v>103</v>
      </c>
      <c r="D90" s="96">
        <f>D91+D92+D93</f>
        <v>19292.1</v>
      </c>
      <c r="E90" s="105"/>
    </row>
    <row r="91" spans="1:5" ht="31.5">
      <c r="A91" s="19" t="s">
        <v>161</v>
      </c>
      <c r="B91" s="19" t="s">
        <v>42</v>
      </c>
      <c r="C91" s="20" t="s">
        <v>40</v>
      </c>
      <c r="D91" s="97">
        <v>8000</v>
      </c>
      <c r="E91" s="105"/>
    </row>
    <row r="92" spans="1:5" ht="15.75">
      <c r="A92" s="19" t="s">
        <v>162</v>
      </c>
      <c r="B92" s="19" t="s">
        <v>41</v>
      </c>
      <c r="C92" s="20" t="s">
        <v>43</v>
      </c>
      <c r="D92" s="97">
        <v>50.1</v>
      </c>
      <c r="E92" s="105"/>
    </row>
    <row r="93" spans="1:5" ht="47.25">
      <c r="A93" s="23" t="s">
        <v>163</v>
      </c>
      <c r="B93" s="16"/>
      <c r="C93" s="17" t="s">
        <v>59</v>
      </c>
      <c r="D93" s="99">
        <f>D94+D95+D96</f>
        <v>11242</v>
      </c>
      <c r="E93" s="105"/>
    </row>
    <row r="94" spans="1:5" ht="78.75">
      <c r="A94" s="19" t="s">
        <v>164</v>
      </c>
      <c r="B94" s="19" t="s">
        <v>42</v>
      </c>
      <c r="C94" s="20" t="s">
        <v>104</v>
      </c>
      <c r="D94" s="97">
        <v>8000</v>
      </c>
      <c r="E94" s="105"/>
    </row>
    <row r="95" spans="1:5" ht="15.75">
      <c r="A95" s="19" t="s">
        <v>165</v>
      </c>
      <c r="B95" s="19" t="s">
        <v>31</v>
      </c>
      <c r="C95" s="20" t="s">
        <v>76</v>
      </c>
      <c r="D95" s="97">
        <v>142</v>
      </c>
      <c r="E95" s="105"/>
    </row>
    <row r="96" spans="1:5" ht="63">
      <c r="A96" s="19" t="s">
        <v>166</v>
      </c>
      <c r="B96" s="19" t="s">
        <v>42</v>
      </c>
      <c r="C96" s="37" t="s">
        <v>99</v>
      </c>
      <c r="D96" s="97">
        <v>3100</v>
      </c>
      <c r="E96" s="105"/>
    </row>
    <row r="97" spans="1:5" ht="63">
      <c r="A97" s="16"/>
      <c r="B97" s="16"/>
      <c r="C97" s="17" t="s">
        <v>105</v>
      </c>
      <c r="D97" s="96">
        <f>D98+D99+D100+D101</f>
        <v>32016</v>
      </c>
      <c r="E97" s="105"/>
    </row>
    <row r="98" spans="1:5" ht="78.75">
      <c r="A98" s="19" t="s">
        <v>167</v>
      </c>
      <c r="B98" s="19" t="s">
        <v>42</v>
      </c>
      <c r="C98" s="20" t="s">
        <v>32</v>
      </c>
      <c r="D98" s="97">
        <v>20521</v>
      </c>
      <c r="E98" s="105"/>
    </row>
    <row r="99" spans="1:5" ht="94.5">
      <c r="A99" s="19" t="s">
        <v>167</v>
      </c>
      <c r="B99" s="19" t="s">
        <v>42</v>
      </c>
      <c r="C99" s="20" t="s">
        <v>60</v>
      </c>
      <c r="D99" s="97">
        <v>0</v>
      </c>
      <c r="E99" s="105"/>
    </row>
    <row r="100" spans="1:5" ht="15.75">
      <c r="A100" s="19" t="s">
        <v>168</v>
      </c>
      <c r="B100" s="19" t="s">
        <v>47</v>
      </c>
      <c r="C100" s="20" t="s">
        <v>69</v>
      </c>
      <c r="D100" s="97">
        <v>0</v>
      </c>
      <c r="E100" s="105"/>
    </row>
    <row r="101" spans="1:5" ht="47.25">
      <c r="A101" s="19"/>
      <c r="B101" s="19"/>
      <c r="C101" s="3" t="s">
        <v>113</v>
      </c>
      <c r="D101" s="99">
        <f>D102+D103</f>
        <v>11495</v>
      </c>
      <c r="E101" s="105"/>
    </row>
    <row r="102" spans="1:5" ht="83.25" customHeight="1">
      <c r="A102" s="19" t="s">
        <v>169</v>
      </c>
      <c r="B102" s="19" t="s">
        <v>42</v>
      </c>
      <c r="C102" s="20" t="s">
        <v>65</v>
      </c>
      <c r="D102" s="97">
        <v>11195</v>
      </c>
      <c r="E102" s="105"/>
    </row>
    <row r="103" spans="1:5" s="24" customFormat="1" ht="15.75">
      <c r="A103" s="19" t="s">
        <v>170</v>
      </c>
      <c r="B103" s="19" t="s">
        <v>41</v>
      </c>
      <c r="C103" s="20" t="s">
        <v>43</v>
      </c>
      <c r="D103" s="97">
        <v>300</v>
      </c>
      <c r="E103" s="105"/>
    </row>
    <row r="104" spans="1:5" s="18" customFormat="1" ht="15.75">
      <c r="A104" s="16" t="s">
        <v>53</v>
      </c>
      <c r="B104" s="47"/>
      <c r="C104" s="15" t="s">
        <v>11</v>
      </c>
      <c r="D104" s="96">
        <f>SUM(D105)</f>
        <v>65</v>
      </c>
      <c r="E104" s="105"/>
    </row>
    <row r="105" spans="1:5" ht="94.5">
      <c r="A105" s="19" t="s">
        <v>204</v>
      </c>
      <c r="B105" s="19" t="s">
        <v>54</v>
      </c>
      <c r="C105" s="12" t="s">
        <v>28</v>
      </c>
      <c r="D105" s="97">
        <v>65</v>
      </c>
      <c r="E105" s="105"/>
    </row>
    <row r="106" spans="1:5" ht="31.5">
      <c r="A106" s="23" t="s">
        <v>12</v>
      </c>
      <c r="B106" s="23"/>
      <c r="C106" s="31" t="s">
        <v>13</v>
      </c>
      <c r="D106" s="96">
        <f>D107+D108+D109+D112+D115</f>
        <v>117041.2</v>
      </c>
      <c r="E106" s="105"/>
    </row>
    <row r="107" spans="1:5" ht="126">
      <c r="A107" s="16" t="s">
        <v>172</v>
      </c>
      <c r="B107" s="16"/>
      <c r="C107" s="17" t="s">
        <v>203</v>
      </c>
      <c r="D107" s="96">
        <f>89389.2+321.9+401</f>
        <v>90112.1</v>
      </c>
      <c r="E107" s="105"/>
    </row>
    <row r="108" spans="1:5" ht="31.5">
      <c r="A108" s="111" t="s">
        <v>201</v>
      </c>
      <c r="B108" s="112">
        <v>262200</v>
      </c>
      <c r="C108" s="112" t="s">
        <v>202</v>
      </c>
      <c r="D108" s="113">
        <v>20000</v>
      </c>
      <c r="E108" s="105"/>
    </row>
    <row r="109" spans="1:5" ht="63">
      <c r="A109" s="19"/>
      <c r="B109" s="19"/>
      <c r="C109" s="17" t="s">
        <v>117</v>
      </c>
      <c r="D109" s="96">
        <f>D110+D111</f>
        <v>1335.6</v>
      </c>
      <c r="E109" s="105"/>
    </row>
    <row r="110" spans="1:5" ht="15.75">
      <c r="A110" s="19" t="s">
        <v>160</v>
      </c>
      <c r="B110" s="19" t="s">
        <v>41</v>
      </c>
      <c r="C110" s="20" t="s">
        <v>43</v>
      </c>
      <c r="D110" s="97">
        <v>1154.2</v>
      </c>
      <c r="E110" s="105"/>
    </row>
    <row r="111" spans="1:5" ht="15.75">
      <c r="A111" s="19" t="s">
        <v>193</v>
      </c>
      <c r="B111" s="19" t="s">
        <v>41</v>
      </c>
      <c r="C111" s="20" t="s">
        <v>43</v>
      </c>
      <c r="D111" s="97">
        <v>181.4</v>
      </c>
      <c r="E111" s="105"/>
    </row>
    <row r="112" spans="1:5" ht="31.5">
      <c r="A112" s="15"/>
      <c r="B112" s="11"/>
      <c r="C112" s="17" t="s">
        <v>70</v>
      </c>
      <c r="D112" s="95">
        <f>D113+D114</f>
        <v>3919.5</v>
      </c>
      <c r="E112" s="105"/>
    </row>
    <row r="113" spans="1:5" ht="31.5">
      <c r="A113" s="11" t="s">
        <v>173</v>
      </c>
      <c r="B113" s="11" t="s">
        <v>46</v>
      </c>
      <c r="C113" s="4" t="s">
        <v>61</v>
      </c>
      <c r="D113" s="102">
        <v>3644.4</v>
      </c>
      <c r="E113" s="105"/>
    </row>
    <row r="114" spans="1:5" ht="15.75">
      <c r="A114" s="11" t="s">
        <v>173</v>
      </c>
      <c r="B114" s="12">
        <v>226900</v>
      </c>
      <c r="C114" s="107" t="s">
        <v>197</v>
      </c>
      <c r="D114" s="103">
        <v>275.1</v>
      </c>
      <c r="E114" s="105"/>
    </row>
    <row r="115" spans="1:4" ht="31.5">
      <c r="A115" s="108"/>
      <c r="B115" s="108"/>
      <c r="C115" s="17" t="s">
        <v>198</v>
      </c>
      <c r="D115" s="110">
        <f>D116+D117</f>
        <v>1674</v>
      </c>
    </row>
    <row r="116" spans="1:4" ht="31.5">
      <c r="A116" s="11" t="s">
        <v>199</v>
      </c>
      <c r="B116" s="11" t="s">
        <v>46</v>
      </c>
      <c r="C116" s="4" t="s">
        <v>61</v>
      </c>
      <c r="D116" s="109">
        <v>1398.9</v>
      </c>
    </row>
    <row r="117" spans="1:4" ht="15.75">
      <c r="A117" s="11" t="s">
        <v>200</v>
      </c>
      <c r="B117" s="19" t="s">
        <v>41</v>
      </c>
      <c r="C117" s="20" t="s">
        <v>43</v>
      </c>
      <c r="D117" s="109">
        <v>275.1</v>
      </c>
    </row>
    <row r="118" spans="1:4" ht="15.75">
      <c r="A118" s="78"/>
      <c r="B118" s="79"/>
      <c r="C118" s="79"/>
      <c r="D118" s="80"/>
    </row>
    <row r="119" spans="1:4" ht="15.75">
      <c r="A119" s="78"/>
      <c r="B119" s="79"/>
      <c r="C119" s="79"/>
      <c r="D119" s="80"/>
    </row>
    <row r="120" ht="15.75">
      <c r="D120" s="56"/>
    </row>
  </sheetData>
  <sheetProtection/>
  <mergeCells count="1">
    <mergeCell ref="A3:D3"/>
  </mergeCells>
  <printOptions horizontalCentered="1"/>
  <pageMargins left="0.1968503937007874" right="0.1968503937007874" top="0.1968503937007874" bottom="0.1968503937007874" header="0.11811023622047245" footer="0.11811023622047245"/>
  <pageSetup fitToHeight="6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2:L118"/>
  <sheetViews>
    <sheetView view="pageBreakPreview" zoomScaleNormal="80" zoomScaleSheetLayoutView="100" zoomScalePageLayoutView="0" workbookViewId="0" topLeftCell="A1">
      <pane xSplit="4" ySplit="5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L37" sqref="L37"/>
    </sheetView>
  </sheetViews>
  <sheetFormatPr defaultColWidth="9.140625" defaultRowHeight="12.75"/>
  <cols>
    <col min="1" max="1" width="28.140625" style="5" customWidth="1"/>
    <col min="2" max="2" width="10.8515625" style="5" customWidth="1"/>
    <col min="3" max="3" width="43.28125" style="5" customWidth="1"/>
    <col min="4" max="4" width="18.140625" style="32" customWidth="1"/>
    <col min="5" max="5" width="15.28125" style="8" customWidth="1"/>
    <col min="6" max="6" width="15.8515625" style="8" customWidth="1"/>
    <col min="7" max="7" width="16.00390625" style="5" customWidth="1"/>
    <col min="8" max="8" width="16.8515625" style="5" customWidth="1"/>
    <col min="9" max="9" width="16.140625" style="5" customWidth="1"/>
    <col min="10" max="10" width="15.7109375" style="5" customWidth="1"/>
    <col min="11" max="11" width="7.421875" style="5" customWidth="1"/>
    <col min="12" max="12" width="11.28125" style="5" customWidth="1"/>
    <col min="13" max="14" width="7.421875" style="5" customWidth="1"/>
    <col min="15" max="16384" width="9.140625" style="5" customWidth="1"/>
  </cols>
  <sheetData>
    <row r="2" spans="1:11" ht="44.25" customHeight="1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36"/>
    </row>
    <row r="3" spans="1:10" s="8" customFormat="1" ht="15.75" customHeight="1">
      <c r="A3" s="171" t="s">
        <v>0</v>
      </c>
      <c r="B3" s="171" t="s">
        <v>17</v>
      </c>
      <c r="C3" s="171" t="s">
        <v>1</v>
      </c>
      <c r="D3" s="171" t="s">
        <v>120</v>
      </c>
      <c r="E3" s="171"/>
      <c r="F3" s="171"/>
      <c r="G3" s="171"/>
      <c r="H3" s="171"/>
      <c r="I3" s="171" t="s">
        <v>94</v>
      </c>
      <c r="J3" s="171" t="s">
        <v>98</v>
      </c>
    </row>
    <row r="4" spans="1:10" s="8" customFormat="1" ht="82.5" customHeight="1">
      <c r="A4" s="171"/>
      <c r="B4" s="171"/>
      <c r="C4" s="171"/>
      <c r="D4" s="6" t="s">
        <v>184</v>
      </c>
      <c r="E4" s="6" t="s">
        <v>95</v>
      </c>
      <c r="F4" s="6" t="s">
        <v>96</v>
      </c>
      <c r="G4" s="6" t="s">
        <v>177</v>
      </c>
      <c r="H4" s="6" t="s">
        <v>97</v>
      </c>
      <c r="I4" s="171"/>
      <c r="J4" s="171"/>
    </row>
    <row r="5" spans="1:10" s="8" customFormat="1" ht="15.75">
      <c r="A5" s="6">
        <v>1</v>
      </c>
      <c r="B5" s="6">
        <f aca="true" t="shared" si="0" ref="B5:H5">A5+1</f>
        <v>2</v>
      </c>
      <c r="C5" s="6">
        <f t="shared" si="0"/>
        <v>3</v>
      </c>
      <c r="D5" s="6">
        <f t="shared" si="0"/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7">
        <v>9</v>
      </c>
      <c r="J5" s="7">
        <v>10</v>
      </c>
    </row>
    <row r="6" spans="1:10" s="8" customFormat="1" ht="31.5">
      <c r="A6" s="6"/>
      <c r="B6" s="6"/>
      <c r="C6" s="9" t="s">
        <v>183</v>
      </c>
      <c r="D6" s="55">
        <f>D7+D12+D17+D21</f>
        <v>1214500.1</v>
      </c>
      <c r="E6" s="55">
        <f>E7+E12+E17+E21</f>
        <v>1120316.86</v>
      </c>
      <c r="F6" s="55">
        <f>F7+F12+F17+F21</f>
        <v>1120316.86</v>
      </c>
      <c r="G6" s="55">
        <f>G7+G12+G17+G21</f>
        <v>37941.5</v>
      </c>
      <c r="H6" s="55">
        <f>H7+H12+H17+H21</f>
        <v>1157523.86</v>
      </c>
      <c r="I6" s="62">
        <f>E6*100/D6</f>
        <v>92</v>
      </c>
      <c r="J6" s="62">
        <f>E6*100/H6</f>
        <v>97</v>
      </c>
    </row>
    <row r="7" spans="1:10" s="8" customFormat="1" ht="15.75">
      <c r="A7" s="9" t="s">
        <v>5</v>
      </c>
      <c r="B7" s="6"/>
      <c r="C7" s="9" t="s">
        <v>4</v>
      </c>
      <c r="D7" s="64">
        <f>D8+D9+D10+D11</f>
        <v>250.53</v>
      </c>
      <c r="E7" s="64">
        <f>E8+E9+E10+E11</f>
        <v>0</v>
      </c>
      <c r="F7" s="64">
        <f>F8+F9+F10+F11</f>
        <v>0</v>
      </c>
      <c r="G7" s="64">
        <f>G8+G9+G10+G11</f>
        <v>80.9</v>
      </c>
      <c r="H7" s="64">
        <f>H8+H9+H10+H11</f>
        <v>80.9</v>
      </c>
      <c r="I7" s="62">
        <f aca="true" t="shared" si="1" ref="I7:I58">E7*100/D7</f>
        <v>0</v>
      </c>
      <c r="J7" s="62">
        <f>E7*100/H7</f>
        <v>0</v>
      </c>
    </row>
    <row r="8" spans="1:10" s="13" customFormat="1" ht="33.75" customHeight="1">
      <c r="A8" s="11" t="s">
        <v>121</v>
      </c>
      <c r="B8" s="12">
        <v>226900</v>
      </c>
      <c r="C8" s="12" t="s">
        <v>3</v>
      </c>
      <c r="D8" s="34">
        <f>'РОСПИСЬ на 31032016'!D8/4</f>
        <v>19.8</v>
      </c>
      <c r="E8" s="67">
        <v>0</v>
      </c>
      <c r="F8" s="67">
        <v>0</v>
      </c>
      <c r="G8" s="65">
        <v>80.9</v>
      </c>
      <c r="H8" s="74">
        <f>G8+E8</f>
        <v>80.9</v>
      </c>
      <c r="I8" s="35">
        <f t="shared" si="1"/>
        <v>0</v>
      </c>
      <c r="J8" s="35">
        <f>E8*100/H8</f>
        <v>0</v>
      </c>
    </row>
    <row r="9" spans="1:10" s="13" customFormat="1" ht="33.75" customHeight="1">
      <c r="A9" s="11" t="s">
        <v>182</v>
      </c>
      <c r="B9" s="12">
        <v>290900</v>
      </c>
      <c r="C9" s="12" t="s">
        <v>181</v>
      </c>
      <c r="D9" s="34">
        <f>'РОСПИСЬ на 31032016'!D9/4</f>
        <v>50</v>
      </c>
      <c r="E9" s="67">
        <v>0</v>
      </c>
      <c r="F9" s="67">
        <v>0</v>
      </c>
      <c r="G9" s="65">
        <v>0</v>
      </c>
      <c r="H9" s="74">
        <f>G9+E9</f>
        <v>0</v>
      </c>
      <c r="I9" s="35">
        <f t="shared" si="1"/>
        <v>0</v>
      </c>
      <c r="J9" s="35">
        <v>0</v>
      </c>
    </row>
    <row r="10" spans="1:10" s="13" customFormat="1" ht="15.75">
      <c r="A10" s="11" t="s">
        <v>122</v>
      </c>
      <c r="B10" s="12">
        <v>290105</v>
      </c>
      <c r="C10" s="12" t="s">
        <v>51</v>
      </c>
      <c r="D10" s="34">
        <f>'РОСПИСЬ на 31032016'!D10/4</f>
        <v>80.48</v>
      </c>
      <c r="E10" s="67">
        <v>0</v>
      </c>
      <c r="F10" s="67">
        <v>0</v>
      </c>
      <c r="G10" s="65">
        <v>0</v>
      </c>
      <c r="H10" s="70">
        <f>G10+E10</f>
        <v>0</v>
      </c>
      <c r="I10" s="35">
        <f t="shared" si="1"/>
        <v>0</v>
      </c>
      <c r="J10" s="35">
        <v>0</v>
      </c>
    </row>
    <row r="11" spans="1:10" s="13" customFormat="1" ht="15.75">
      <c r="A11" s="11" t="s">
        <v>122</v>
      </c>
      <c r="B11" s="12">
        <v>290106</v>
      </c>
      <c r="C11" s="12" t="s">
        <v>52</v>
      </c>
      <c r="D11" s="34">
        <f>'РОСПИСЬ на 31032016'!D11/4</f>
        <v>100.25</v>
      </c>
      <c r="E11" s="67">
        <v>0</v>
      </c>
      <c r="F11" s="67">
        <v>0</v>
      </c>
      <c r="G11" s="65">
        <v>0</v>
      </c>
      <c r="H11" s="74">
        <f>G11+E11</f>
        <v>0</v>
      </c>
      <c r="I11" s="35">
        <f t="shared" si="1"/>
        <v>0</v>
      </c>
      <c r="J11" s="35">
        <v>0</v>
      </c>
    </row>
    <row r="12" spans="1:10" s="13" customFormat="1" ht="15.75">
      <c r="A12" s="9" t="s">
        <v>6</v>
      </c>
      <c r="B12" s="9"/>
      <c r="C12" s="9" t="s">
        <v>7</v>
      </c>
      <c r="D12" s="64">
        <f>SUM(D13:D16)</f>
        <v>95.18</v>
      </c>
      <c r="E12" s="64">
        <f>SUM(E13:E16)</f>
        <v>0</v>
      </c>
      <c r="F12" s="64">
        <f>SUM(F13:F16)</f>
        <v>0</v>
      </c>
      <c r="G12" s="64">
        <f>SUM(G13:G16)</f>
        <v>6.6</v>
      </c>
      <c r="H12" s="64">
        <f>SUM(H13:H16)</f>
        <v>6.6</v>
      </c>
      <c r="I12" s="62">
        <f t="shared" si="1"/>
        <v>0</v>
      </c>
      <c r="J12" s="62">
        <f aca="true" t="shared" si="2" ref="J12:J58">E12*100/H12</f>
        <v>0</v>
      </c>
    </row>
    <row r="13" spans="1:10" s="13" customFormat="1" ht="31.5">
      <c r="A13" s="11" t="s">
        <v>123</v>
      </c>
      <c r="B13" s="12">
        <v>226900</v>
      </c>
      <c r="C13" s="12" t="s">
        <v>20</v>
      </c>
      <c r="D13" s="34">
        <f>'РОСПИСЬ на 31032016'!D13/4</f>
        <v>50</v>
      </c>
      <c r="E13" s="66">
        <v>0</v>
      </c>
      <c r="F13" s="66">
        <v>0</v>
      </c>
      <c r="G13" s="66">
        <v>6.6</v>
      </c>
      <c r="H13" s="74">
        <f>G13+E13</f>
        <v>6.6</v>
      </c>
      <c r="I13" s="35">
        <f t="shared" si="1"/>
        <v>0</v>
      </c>
      <c r="J13" s="35">
        <f>E13*100/H13</f>
        <v>0</v>
      </c>
    </row>
    <row r="14" spans="1:10" s="14" customFormat="1" ht="32.25" customHeight="1">
      <c r="A14" s="11" t="s">
        <v>124</v>
      </c>
      <c r="B14" s="12">
        <v>212101</v>
      </c>
      <c r="C14" s="12" t="s">
        <v>58</v>
      </c>
      <c r="D14" s="34">
        <f>'РОСПИСЬ на 31032016'!D14/4</f>
        <v>10</v>
      </c>
      <c r="E14" s="67">
        <v>0</v>
      </c>
      <c r="F14" s="67">
        <v>0</v>
      </c>
      <c r="G14" s="65">
        <v>0</v>
      </c>
      <c r="H14" s="74">
        <f>G14+E14</f>
        <v>0</v>
      </c>
      <c r="I14" s="35">
        <f t="shared" si="1"/>
        <v>0</v>
      </c>
      <c r="J14" s="35">
        <v>0</v>
      </c>
    </row>
    <row r="15" spans="1:10" s="14" customFormat="1" ht="22.5" customHeight="1">
      <c r="A15" s="11" t="s">
        <v>125</v>
      </c>
      <c r="B15" s="12">
        <v>222101</v>
      </c>
      <c r="C15" s="12" t="s">
        <v>56</v>
      </c>
      <c r="D15" s="34">
        <f>'РОСПИСЬ на 31032016'!D15/4</f>
        <v>3.75</v>
      </c>
      <c r="E15" s="67">
        <v>0</v>
      </c>
      <c r="F15" s="67">
        <v>0</v>
      </c>
      <c r="G15" s="65">
        <v>0</v>
      </c>
      <c r="H15" s="74">
        <f>G15+E15</f>
        <v>0</v>
      </c>
      <c r="I15" s="35">
        <f t="shared" si="1"/>
        <v>0</v>
      </c>
      <c r="J15" s="35">
        <v>0</v>
      </c>
    </row>
    <row r="16" spans="1:10" s="14" customFormat="1" ht="47.25">
      <c r="A16" s="11" t="s">
        <v>124</v>
      </c>
      <c r="B16" s="12">
        <v>212103</v>
      </c>
      <c r="C16" s="12" t="s">
        <v>57</v>
      </c>
      <c r="D16" s="34">
        <f>'РОСПИСЬ на 31032016'!D16/4</f>
        <v>31.43</v>
      </c>
      <c r="E16" s="67">
        <v>0</v>
      </c>
      <c r="F16" s="67">
        <v>0</v>
      </c>
      <c r="G16" s="65">
        <v>0</v>
      </c>
      <c r="H16" s="74">
        <f>G16+E16</f>
        <v>0</v>
      </c>
      <c r="I16" s="35">
        <f t="shared" si="1"/>
        <v>0</v>
      </c>
      <c r="J16" s="35">
        <v>0</v>
      </c>
    </row>
    <row r="17" spans="1:10" s="14" customFormat="1" ht="47.25">
      <c r="A17" s="15"/>
      <c r="B17" s="9"/>
      <c r="C17" s="9" t="s">
        <v>112</v>
      </c>
      <c r="D17" s="64">
        <f>D18+D19+D20</f>
        <v>6884.1</v>
      </c>
      <c r="E17" s="64">
        <f>E18+E19+E20</f>
        <v>6884.1</v>
      </c>
      <c r="F17" s="64">
        <f>F18+F19+F20</f>
        <v>6884.1</v>
      </c>
      <c r="G17" s="64">
        <f>G18+G19+G20</f>
        <v>0</v>
      </c>
      <c r="H17" s="64">
        <f>H18+H19+H20</f>
        <v>6884.1</v>
      </c>
      <c r="I17" s="62">
        <f t="shared" si="1"/>
        <v>100</v>
      </c>
      <c r="J17" s="62">
        <f t="shared" si="2"/>
        <v>100</v>
      </c>
    </row>
    <row r="18" spans="1:10" s="14" customFormat="1" ht="31.5">
      <c r="A18" s="11" t="s">
        <v>127</v>
      </c>
      <c r="B18" s="12">
        <v>226900</v>
      </c>
      <c r="C18" s="12" t="s">
        <v>30</v>
      </c>
      <c r="D18" s="34">
        <v>6852.5</v>
      </c>
      <c r="E18" s="66">
        <v>6852.5</v>
      </c>
      <c r="F18" s="66">
        <v>6852.5</v>
      </c>
      <c r="G18" s="66">
        <v>0</v>
      </c>
      <c r="H18" s="74">
        <f aca="true" t="shared" si="3" ref="H18:H69">G18+E18</f>
        <v>6852.5</v>
      </c>
      <c r="I18" s="35">
        <f t="shared" si="1"/>
        <v>100</v>
      </c>
      <c r="J18" s="35">
        <f t="shared" si="2"/>
        <v>100</v>
      </c>
    </row>
    <row r="19" spans="1:10" s="14" customFormat="1" ht="15.75">
      <c r="A19" s="11" t="s">
        <v>128</v>
      </c>
      <c r="B19" s="12">
        <v>262200</v>
      </c>
      <c r="C19" s="12" t="s">
        <v>68</v>
      </c>
      <c r="D19" s="34">
        <v>31.6</v>
      </c>
      <c r="E19" s="67">
        <v>31.6</v>
      </c>
      <c r="F19" s="67">
        <v>31.6</v>
      </c>
      <c r="G19" s="65">
        <v>0</v>
      </c>
      <c r="H19" s="74">
        <f t="shared" si="3"/>
        <v>31.6</v>
      </c>
      <c r="I19" s="35">
        <f t="shared" si="1"/>
        <v>100</v>
      </c>
      <c r="J19" s="35">
        <f t="shared" si="2"/>
        <v>100</v>
      </c>
    </row>
    <row r="20" spans="1:10" s="14" customFormat="1" ht="31.5">
      <c r="A20" s="11" t="s">
        <v>126</v>
      </c>
      <c r="B20" s="12">
        <v>251000</v>
      </c>
      <c r="C20" s="12" t="s">
        <v>30</v>
      </c>
      <c r="D20" s="34">
        <v>0</v>
      </c>
      <c r="E20" s="67">
        <v>0</v>
      </c>
      <c r="F20" s="67">
        <v>0</v>
      </c>
      <c r="G20" s="65">
        <v>0</v>
      </c>
      <c r="H20" s="74">
        <f t="shared" si="3"/>
        <v>0</v>
      </c>
      <c r="I20" s="35">
        <v>0</v>
      </c>
      <c r="J20" s="35">
        <v>0</v>
      </c>
    </row>
    <row r="21" spans="1:10" s="14" customFormat="1" ht="15.75">
      <c r="A21" s="2" t="s">
        <v>92</v>
      </c>
      <c r="B21" s="33"/>
      <c r="C21" s="1" t="s">
        <v>93</v>
      </c>
      <c r="D21" s="64">
        <f>D22+D25+D58+D105+D48</f>
        <v>1207270.29</v>
      </c>
      <c r="E21" s="64">
        <f>E22+E25+E58+E105+E48</f>
        <v>1113432.76</v>
      </c>
      <c r="F21" s="64">
        <f>F22+F25+F58+F105+F48</f>
        <v>1113432.76</v>
      </c>
      <c r="G21" s="64">
        <f>G22+G25+G58+G105+G48</f>
        <v>37854</v>
      </c>
      <c r="H21" s="64">
        <f>H22+H25+H58+H105+H48</f>
        <v>1150552.26</v>
      </c>
      <c r="I21" s="62">
        <f t="shared" si="1"/>
        <v>92</v>
      </c>
      <c r="J21" s="62">
        <f t="shared" si="2"/>
        <v>97</v>
      </c>
    </row>
    <row r="22" spans="1:10" s="14" customFormat="1" ht="47.25">
      <c r="A22" s="16" t="s">
        <v>62</v>
      </c>
      <c r="B22" s="16"/>
      <c r="C22" s="17" t="s">
        <v>21</v>
      </c>
      <c r="D22" s="64">
        <f>SUM(D23:D24)</f>
        <v>57836.2</v>
      </c>
      <c r="E22" s="64">
        <f>SUM(E23:E24)</f>
        <v>65112.2</v>
      </c>
      <c r="F22" s="64">
        <f>SUM(F23:F24)</f>
        <v>65112.2</v>
      </c>
      <c r="G22" s="64">
        <f>SUM(G23:G24)</f>
        <v>0</v>
      </c>
      <c r="H22" s="70">
        <f t="shared" si="3"/>
        <v>65112.2</v>
      </c>
      <c r="I22" s="62">
        <f t="shared" si="1"/>
        <v>113</v>
      </c>
      <c r="J22" s="62">
        <f t="shared" si="2"/>
        <v>100</v>
      </c>
    </row>
    <row r="23" spans="1:10" s="14" customFormat="1" ht="47.25">
      <c r="A23" s="19" t="s">
        <v>129</v>
      </c>
      <c r="B23" s="19" t="s">
        <v>44</v>
      </c>
      <c r="C23" s="20" t="s">
        <v>63</v>
      </c>
      <c r="D23" s="63">
        <f>'РОСПИСЬ на 31032016'!D23/4</f>
        <v>33564.95</v>
      </c>
      <c r="E23" s="93">
        <v>39347.6</v>
      </c>
      <c r="F23" s="67">
        <v>39347.6</v>
      </c>
      <c r="G23" s="65">
        <v>0</v>
      </c>
      <c r="H23" s="74">
        <f t="shared" si="3"/>
        <v>39347.6</v>
      </c>
      <c r="I23" s="35">
        <f t="shared" si="1"/>
        <v>117</v>
      </c>
      <c r="J23" s="35">
        <f t="shared" si="2"/>
        <v>100</v>
      </c>
    </row>
    <row r="24" spans="1:10" s="14" customFormat="1" ht="50.25" customHeight="1">
      <c r="A24" s="19" t="s">
        <v>130</v>
      </c>
      <c r="B24" s="19" t="s">
        <v>44</v>
      </c>
      <c r="C24" s="20" t="s">
        <v>64</v>
      </c>
      <c r="D24" s="63">
        <f>'РОСПИСЬ на 31032016'!D24/4</f>
        <v>24271.25</v>
      </c>
      <c r="E24" s="93">
        <v>25764.6</v>
      </c>
      <c r="F24" s="66">
        <v>25764.6</v>
      </c>
      <c r="G24" s="69">
        <v>0</v>
      </c>
      <c r="H24" s="74">
        <f t="shared" si="3"/>
        <v>25764.6</v>
      </c>
      <c r="I24" s="35">
        <f t="shared" si="1"/>
        <v>106</v>
      </c>
      <c r="J24" s="35">
        <f t="shared" si="2"/>
        <v>100</v>
      </c>
    </row>
    <row r="25" spans="1:10" s="18" customFormat="1" ht="15.75">
      <c r="A25" s="16" t="s">
        <v>71</v>
      </c>
      <c r="B25" s="16"/>
      <c r="C25" s="17" t="s">
        <v>72</v>
      </c>
      <c r="D25" s="64">
        <f>D26+D37</f>
        <v>220024.06</v>
      </c>
      <c r="E25" s="64">
        <f>E26+E37</f>
        <v>217931.1</v>
      </c>
      <c r="F25" s="64">
        <f>F26+F37</f>
        <v>217931.1</v>
      </c>
      <c r="G25" s="64">
        <f>G26+G37</f>
        <v>21282.3</v>
      </c>
      <c r="H25" s="64">
        <f>H26+H37</f>
        <v>239213.4</v>
      </c>
      <c r="I25" s="62">
        <f t="shared" si="1"/>
        <v>99</v>
      </c>
      <c r="J25" s="62">
        <f t="shared" si="2"/>
        <v>91</v>
      </c>
    </row>
    <row r="26" spans="1:10" s="18" customFormat="1" ht="31.5">
      <c r="A26" s="16" t="s">
        <v>131</v>
      </c>
      <c r="B26" s="16"/>
      <c r="C26" s="3" t="s">
        <v>73</v>
      </c>
      <c r="D26" s="64">
        <f>D27+D35+D36</f>
        <v>74153.88</v>
      </c>
      <c r="E26" s="64">
        <f>E27+E35+E36</f>
        <v>68477.7</v>
      </c>
      <c r="F26" s="64">
        <f>F27+F35+F36</f>
        <v>68477.7</v>
      </c>
      <c r="G26" s="64">
        <f>G27+G35+G36</f>
        <v>6395.8</v>
      </c>
      <c r="H26" s="70">
        <f t="shared" si="3"/>
        <v>74873.5</v>
      </c>
      <c r="I26" s="62">
        <f t="shared" si="1"/>
        <v>92</v>
      </c>
      <c r="J26" s="62">
        <f t="shared" si="2"/>
        <v>91</v>
      </c>
    </row>
    <row r="27" spans="1:10" s="18" customFormat="1" ht="31.5">
      <c r="A27" s="44"/>
      <c r="B27" s="44"/>
      <c r="C27" s="42" t="s">
        <v>74</v>
      </c>
      <c r="D27" s="66">
        <f>D28+D29+D30+D31+D32+D33+D34</f>
        <v>52810.85</v>
      </c>
      <c r="E27" s="66">
        <f>E28+E29+E30+E31+E32+E33+E34</f>
        <v>56518.5</v>
      </c>
      <c r="F27" s="66">
        <f>F28+F29+F30+F31+F32+F33+F34</f>
        <v>56518.5</v>
      </c>
      <c r="G27" s="66">
        <f>G28+G29+G30+G31+G32+G33+G34</f>
        <v>6395.8</v>
      </c>
      <c r="H27" s="74">
        <f t="shared" si="3"/>
        <v>62914.3</v>
      </c>
      <c r="I27" s="35">
        <f t="shared" si="1"/>
        <v>107</v>
      </c>
      <c r="J27" s="35">
        <f t="shared" si="2"/>
        <v>90</v>
      </c>
    </row>
    <row r="28" spans="1:10" s="18" customFormat="1" ht="15.75">
      <c r="A28" s="38" t="s">
        <v>132</v>
      </c>
      <c r="B28" s="41" t="s">
        <v>75</v>
      </c>
      <c r="C28" s="39" t="s">
        <v>86</v>
      </c>
      <c r="D28" s="34">
        <f>'РОСПИСЬ на 31032016'!D28/4</f>
        <v>39142.42</v>
      </c>
      <c r="E28" s="66">
        <v>46467.1</v>
      </c>
      <c r="F28" s="66">
        <v>46467.1</v>
      </c>
      <c r="G28" s="66">
        <v>0</v>
      </c>
      <c r="H28" s="74">
        <f t="shared" si="3"/>
        <v>46467.1</v>
      </c>
      <c r="I28" s="35">
        <f t="shared" si="1"/>
        <v>119</v>
      </c>
      <c r="J28" s="35">
        <f t="shared" si="2"/>
        <v>100</v>
      </c>
    </row>
    <row r="29" spans="1:10" s="18" customFormat="1" ht="15.75">
      <c r="A29" s="38"/>
      <c r="B29" s="41" t="s">
        <v>31</v>
      </c>
      <c r="C29" s="39" t="s">
        <v>76</v>
      </c>
      <c r="D29" s="34">
        <f>'РОСПИСЬ на 31032016'!D29/4</f>
        <v>136.43</v>
      </c>
      <c r="E29" s="66">
        <v>77.2</v>
      </c>
      <c r="F29" s="66">
        <v>77.2</v>
      </c>
      <c r="G29" s="68">
        <v>27.2</v>
      </c>
      <c r="H29" s="74">
        <f t="shared" si="3"/>
        <v>104.4</v>
      </c>
      <c r="I29" s="35">
        <f t="shared" si="1"/>
        <v>57</v>
      </c>
      <c r="J29" s="35">
        <f t="shared" si="2"/>
        <v>74</v>
      </c>
    </row>
    <row r="30" spans="1:10" s="18" customFormat="1" ht="15.75">
      <c r="A30" s="38"/>
      <c r="B30" s="41" t="s">
        <v>77</v>
      </c>
      <c r="C30" s="39" t="s">
        <v>78</v>
      </c>
      <c r="D30" s="34">
        <f>'РОСПИСЬ на 31032016'!D30/4</f>
        <v>5590.08</v>
      </c>
      <c r="E30" s="66">
        <v>6636.4</v>
      </c>
      <c r="F30" s="66">
        <v>6636.4</v>
      </c>
      <c r="G30" s="68">
        <v>1185.3</v>
      </c>
      <c r="H30" s="74">
        <f t="shared" si="3"/>
        <v>7821.7</v>
      </c>
      <c r="I30" s="35">
        <f t="shared" si="1"/>
        <v>119</v>
      </c>
      <c r="J30" s="35">
        <f t="shared" si="2"/>
        <v>85</v>
      </c>
    </row>
    <row r="31" spans="1:10" s="18" customFormat="1" ht="15.75">
      <c r="A31" s="38"/>
      <c r="B31" s="41" t="s">
        <v>79</v>
      </c>
      <c r="C31" s="39" t="s">
        <v>80</v>
      </c>
      <c r="D31" s="34">
        <f>'РОСПИСЬ на 31032016'!D31/4</f>
        <v>4601.53</v>
      </c>
      <c r="E31" s="67">
        <v>2812.2</v>
      </c>
      <c r="F31" s="67">
        <v>2812.2</v>
      </c>
      <c r="G31" s="67">
        <v>3641.3</v>
      </c>
      <c r="H31" s="74">
        <f t="shared" si="3"/>
        <v>6453.5</v>
      </c>
      <c r="I31" s="35">
        <f t="shared" si="1"/>
        <v>61</v>
      </c>
      <c r="J31" s="35">
        <f t="shared" si="2"/>
        <v>44</v>
      </c>
    </row>
    <row r="32" spans="1:10" s="18" customFormat="1" ht="15.75">
      <c r="A32" s="38"/>
      <c r="B32" s="41" t="s">
        <v>81</v>
      </c>
      <c r="C32" s="39" t="s">
        <v>82</v>
      </c>
      <c r="D32" s="34">
        <f>'РОСПИСЬ на 31032016'!D32/4</f>
        <v>277.83</v>
      </c>
      <c r="E32" s="67">
        <v>0</v>
      </c>
      <c r="F32" s="67">
        <v>0</v>
      </c>
      <c r="G32" s="67">
        <v>156.5</v>
      </c>
      <c r="H32" s="74">
        <f t="shared" si="3"/>
        <v>156.5</v>
      </c>
      <c r="I32" s="35">
        <f t="shared" si="1"/>
        <v>0</v>
      </c>
      <c r="J32" s="35">
        <f t="shared" si="2"/>
        <v>0</v>
      </c>
    </row>
    <row r="33" spans="1:10" s="18" customFormat="1" ht="15.75">
      <c r="A33" s="38"/>
      <c r="B33" s="41" t="s">
        <v>83</v>
      </c>
      <c r="C33" s="39" t="s">
        <v>84</v>
      </c>
      <c r="D33" s="34">
        <f>'РОСПИСЬ на 31032016'!D33/4</f>
        <v>2190.58</v>
      </c>
      <c r="E33" s="67">
        <v>387.3</v>
      </c>
      <c r="F33" s="67">
        <v>387.3</v>
      </c>
      <c r="G33" s="67">
        <v>470.7</v>
      </c>
      <c r="H33" s="74">
        <f t="shared" si="3"/>
        <v>858</v>
      </c>
      <c r="I33" s="35">
        <f t="shared" si="1"/>
        <v>18</v>
      </c>
      <c r="J33" s="35">
        <f t="shared" si="2"/>
        <v>45</v>
      </c>
    </row>
    <row r="34" spans="1:10" s="18" customFormat="1" ht="15.75">
      <c r="A34" s="38"/>
      <c r="B34" s="41"/>
      <c r="C34" s="39" t="s">
        <v>85</v>
      </c>
      <c r="D34" s="34">
        <f>'РОСПИСЬ на 31032016'!D34/4</f>
        <v>871.98</v>
      </c>
      <c r="E34" s="67">
        <v>138.3</v>
      </c>
      <c r="F34" s="67">
        <v>138.3</v>
      </c>
      <c r="G34" s="67">
        <v>914.8</v>
      </c>
      <c r="H34" s="74">
        <f t="shared" si="3"/>
        <v>1053.1</v>
      </c>
      <c r="I34" s="35">
        <f t="shared" si="1"/>
        <v>16</v>
      </c>
      <c r="J34" s="35">
        <f t="shared" si="2"/>
        <v>13</v>
      </c>
    </row>
    <row r="35" spans="1:10" s="18" customFormat="1" ht="15.75">
      <c r="A35" s="27" t="s">
        <v>133</v>
      </c>
      <c r="B35" s="27"/>
      <c r="C35" s="28" t="s">
        <v>87</v>
      </c>
      <c r="D35" s="34">
        <f>'РОСПИСЬ на 31032016'!D35/4</f>
        <v>538.08</v>
      </c>
      <c r="E35" s="67">
        <v>0</v>
      </c>
      <c r="F35" s="67">
        <v>0</v>
      </c>
      <c r="G35" s="67">
        <v>0</v>
      </c>
      <c r="H35" s="74">
        <f t="shared" si="3"/>
        <v>0</v>
      </c>
      <c r="I35" s="35">
        <f t="shared" si="1"/>
        <v>0</v>
      </c>
      <c r="J35" s="35">
        <v>0</v>
      </c>
    </row>
    <row r="36" spans="1:12" s="18" customFormat="1" ht="31.5">
      <c r="A36" s="27" t="s">
        <v>134</v>
      </c>
      <c r="B36" s="27"/>
      <c r="C36" s="28" t="s">
        <v>88</v>
      </c>
      <c r="D36" s="34">
        <f>'РОСПИСЬ на 31032016'!D36/4</f>
        <v>20804.95</v>
      </c>
      <c r="E36" s="67">
        <v>11959.2</v>
      </c>
      <c r="F36" s="67">
        <v>11959.2</v>
      </c>
      <c r="G36" s="70">
        <v>0</v>
      </c>
      <c r="H36" s="74">
        <f>G36+E36</f>
        <v>11959.2</v>
      </c>
      <c r="I36" s="35">
        <f t="shared" si="1"/>
        <v>57</v>
      </c>
      <c r="J36" s="35">
        <f t="shared" si="2"/>
        <v>100</v>
      </c>
      <c r="L36" s="94">
        <f>G25+G48</f>
        <v>31936</v>
      </c>
    </row>
    <row r="37" spans="1:10" s="18" customFormat="1" ht="31.5">
      <c r="A37" s="44" t="s">
        <v>131</v>
      </c>
      <c r="B37" s="44"/>
      <c r="C37" s="28" t="s">
        <v>89</v>
      </c>
      <c r="D37" s="64">
        <f>D38+D46+D47</f>
        <v>145870.18</v>
      </c>
      <c r="E37" s="64">
        <f>E38+E46+E47</f>
        <v>149453.4</v>
      </c>
      <c r="F37" s="64">
        <f>F38+F46+F47</f>
        <v>149453.4</v>
      </c>
      <c r="G37" s="64">
        <f>G38+G46+G47</f>
        <v>14886.5</v>
      </c>
      <c r="H37" s="70">
        <f t="shared" si="3"/>
        <v>164339.9</v>
      </c>
      <c r="I37" s="62">
        <f t="shared" si="1"/>
        <v>102</v>
      </c>
      <c r="J37" s="62">
        <f t="shared" si="2"/>
        <v>91</v>
      </c>
    </row>
    <row r="38" spans="1:10" s="18" customFormat="1" ht="31.5">
      <c r="A38" s="44"/>
      <c r="B38" s="44"/>
      <c r="C38" s="42" t="s">
        <v>74</v>
      </c>
      <c r="D38" s="66">
        <f>D39+D40+D41+D42+D43+D44+D45</f>
        <v>134347.73</v>
      </c>
      <c r="E38" s="66">
        <f>E39+E40+E41+E42+E43+E44+E45</f>
        <v>143064.9</v>
      </c>
      <c r="F38" s="66">
        <f>F39+F40+F41+F42+F43+F44+F45</f>
        <v>143064.9</v>
      </c>
      <c r="G38" s="66">
        <f>G39+G40+G41+G42+G43+G44+G45</f>
        <v>14886.5</v>
      </c>
      <c r="H38" s="74">
        <f t="shared" si="3"/>
        <v>157951.4</v>
      </c>
      <c r="I38" s="35">
        <f t="shared" si="1"/>
        <v>106</v>
      </c>
      <c r="J38" s="35">
        <f t="shared" si="2"/>
        <v>91</v>
      </c>
    </row>
    <row r="39" spans="1:10" s="18" customFormat="1" ht="15.75">
      <c r="A39" s="48" t="s">
        <v>132</v>
      </c>
      <c r="B39" s="41" t="s">
        <v>75</v>
      </c>
      <c r="C39" s="39" t="s">
        <v>90</v>
      </c>
      <c r="D39" s="34">
        <f>'РОСПИСЬ на 31032016'!D39/4</f>
        <v>109297.85</v>
      </c>
      <c r="E39" s="66">
        <v>129001.5</v>
      </c>
      <c r="F39" s="66">
        <v>129001.5</v>
      </c>
      <c r="G39" s="68">
        <v>0</v>
      </c>
      <c r="H39" s="74">
        <f t="shared" si="3"/>
        <v>129001.5</v>
      </c>
      <c r="I39" s="35">
        <f t="shared" si="1"/>
        <v>118</v>
      </c>
      <c r="J39" s="35">
        <f t="shared" si="2"/>
        <v>100</v>
      </c>
    </row>
    <row r="40" spans="1:10" s="18" customFormat="1" ht="15.75">
      <c r="A40" s="44"/>
      <c r="B40" s="41" t="s">
        <v>31</v>
      </c>
      <c r="C40" s="39" t="s">
        <v>76</v>
      </c>
      <c r="D40" s="34">
        <f>'РОСПИСЬ на 31032016'!D40/4</f>
        <v>534.6</v>
      </c>
      <c r="E40" s="66">
        <v>502.1</v>
      </c>
      <c r="F40" s="66">
        <v>502.1</v>
      </c>
      <c r="G40" s="66">
        <v>109.8</v>
      </c>
      <c r="H40" s="74">
        <f t="shared" si="3"/>
        <v>611.9</v>
      </c>
      <c r="I40" s="35">
        <f t="shared" si="1"/>
        <v>94</v>
      </c>
      <c r="J40" s="35">
        <f t="shared" si="2"/>
        <v>82</v>
      </c>
    </row>
    <row r="41" spans="1:10" s="18" customFormat="1" ht="15.75">
      <c r="A41" s="44"/>
      <c r="B41" s="41" t="s">
        <v>77</v>
      </c>
      <c r="C41" s="39" t="s">
        <v>78</v>
      </c>
      <c r="D41" s="34">
        <f>'РОСПИСЬ на 31032016'!D41/4</f>
        <v>5447.53</v>
      </c>
      <c r="E41" s="67">
        <v>5543.9</v>
      </c>
      <c r="F41" s="67">
        <v>5543.9</v>
      </c>
      <c r="G41" s="68">
        <v>755.8</v>
      </c>
      <c r="H41" s="74">
        <f t="shared" si="3"/>
        <v>6299.7</v>
      </c>
      <c r="I41" s="35">
        <f t="shared" si="1"/>
        <v>102</v>
      </c>
      <c r="J41" s="35">
        <f t="shared" si="2"/>
        <v>88</v>
      </c>
    </row>
    <row r="42" spans="1:10" s="43" customFormat="1" ht="15.75">
      <c r="A42" s="44"/>
      <c r="B42" s="41" t="s">
        <v>79</v>
      </c>
      <c r="C42" s="39" t="s">
        <v>80</v>
      </c>
      <c r="D42" s="34">
        <f>'РОСПИСЬ на 31032016'!D42/4</f>
        <v>9762.15</v>
      </c>
      <c r="E42" s="67">
        <v>5335.3</v>
      </c>
      <c r="F42" s="67">
        <v>5335.3</v>
      </c>
      <c r="G42" s="68">
        <v>6343.9</v>
      </c>
      <c r="H42" s="76">
        <f t="shared" si="3"/>
        <v>11679.2</v>
      </c>
      <c r="I42" s="35">
        <f t="shared" si="1"/>
        <v>55</v>
      </c>
      <c r="J42" s="35">
        <f t="shared" si="2"/>
        <v>46</v>
      </c>
    </row>
    <row r="43" spans="1:10" s="18" customFormat="1" ht="15.75">
      <c r="A43" s="44"/>
      <c r="B43" s="41" t="s">
        <v>81</v>
      </c>
      <c r="C43" s="39" t="s">
        <v>82</v>
      </c>
      <c r="D43" s="34">
        <f>'РОСПИСЬ на 31032016'!D43/4</f>
        <v>828.05</v>
      </c>
      <c r="E43" s="67">
        <v>38.8</v>
      </c>
      <c r="F43" s="67">
        <v>38.8</v>
      </c>
      <c r="G43" s="67">
        <v>1093.7</v>
      </c>
      <c r="H43" s="74">
        <f t="shared" si="3"/>
        <v>1132.5</v>
      </c>
      <c r="I43" s="35">
        <f t="shared" si="1"/>
        <v>5</v>
      </c>
      <c r="J43" s="35">
        <f t="shared" si="2"/>
        <v>3</v>
      </c>
    </row>
    <row r="44" spans="1:10" s="18" customFormat="1" ht="15.75">
      <c r="A44" s="44"/>
      <c r="B44" s="41" t="s">
        <v>83</v>
      </c>
      <c r="C44" s="39" t="s">
        <v>84</v>
      </c>
      <c r="D44" s="34">
        <f>'РОСПИСЬ на 31032016'!D44/4</f>
        <v>1965.05</v>
      </c>
      <c r="E44" s="67">
        <v>586.4</v>
      </c>
      <c r="F44" s="67">
        <v>586.4</v>
      </c>
      <c r="G44" s="67">
        <v>346.7</v>
      </c>
      <c r="H44" s="74">
        <f>G44+E44</f>
        <v>933.1</v>
      </c>
      <c r="I44" s="35">
        <f t="shared" si="1"/>
        <v>30</v>
      </c>
      <c r="J44" s="35">
        <f t="shared" si="2"/>
        <v>63</v>
      </c>
    </row>
    <row r="45" spans="1:10" s="18" customFormat="1" ht="15.75">
      <c r="A45" s="44"/>
      <c r="B45" s="41"/>
      <c r="C45" s="39" t="s">
        <v>85</v>
      </c>
      <c r="D45" s="34">
        <f>'РОСПИСЬ на 31032016'!D45/4</f>
        <v>6512.5</v>
      </c>
      <c r="E45" s="67">
        <v>2056.9</v>
      </c>
      <c r="F45" s="67">
        <v>2056.9</v>
      </c>
      <c r="G45" s="67">
        <v>6236.6</v>
      </c>
      <c r="H45" s="74">
        <f t="shared" si="3"/>
        <v>8293.5</v>
      </c>
      <c r="I45" s="35">
        <f t="shared" si="1"/>
        <v>32</v>
      </c>
      <c r="J45" s="35">
        <f t="shared" si="2"/>
        <v>25</v>
      </c>
    </row>
    <row r="46" spans="1:10" s="18" customFormat="1" ht="15.75">
      <c r="A46" s="27" t="s">
        <v>133</v>
      </c>
      <c r="B46" s="27"/>
      <c r="C46" s="28" t="s">
        <v>87</v>
      </c>
      <c r="D46" s="34">
        <f>'РОСПИСЬ на 31032016'!D46/4</f>
        <v>9584.9</v>
      </c>
      <c r="E46" s="67">
        <v>4518.4</v>
      </c>
      <c r="F46" s="67">
        <v>4518.4</v>
      </c>
      <c r="G46" s="67">
        <v>0</v>
      </c>
      <c r="H46" s="74">
        <f t="shared" si="3"/>
        <v>4518.4</v>
      </c>
      <c r="I46" s="35">
        <f t="shared" si="1"/>
        <v>47</v>
      </c>
      <c r="J46" s="35">
        <f t="shared" si="2"/>
        <v>100</v>
      </c>
    </row>
    <row r="47" spans="1:10" s="18" customFormat="1" ht="31.5">
      <c r="A47" s="27" t="s">
        <v>133</v>
      </c>
      <c r="B47" s="27"/>
      <c r="C47" s="28" t="s">
        <v>88</v>
      </c>
      <c r="D47" s="34">
        <f>'РОСПИСЬ на 31032016'!D47/4</f>
        <v>1937.55</v>
      </c>
      <c r="E47" s="67">
        <v>1870.1</v>
      </c>
      <c r="F47" s="67">
        <v>1870.1</v>
      </c>
      <c r="G47" s="67">
        <v>0</v>
      </c>
      <c r="H47" s="74">
        <f t="shared" si="3"/>
        <v>1870.1</v>
      </c>
      <c r="I47" s="35">
        <f t="shared" si="1"/>
        <v>97</v>
      </c>
      <c r="J47" s="35">
        <f t="shared" si="2"/>
        <v>100</v>
      </c>
    </row>
    <row r="48" spans="1:10" ht="47.25">
      <c r="A48" s="27" t="s">
        <v>136</v>
      </c>
      <c r="B48" s="27"/>
      <c r="C48" s="28" t="s">
        <v>106</v>
      </c>
      <c r="D48" s="64">
        <f>D49+D56+D57</f>
        <v>40406.76</v>
      </c>
      <c r="E48" s="64">
        <f>E49+E56+E57</f>
        <v>40259.4</v>
      </c>
      <c r="F48" s="64">
        <f>F49+F56+F57</f>
        <v>40259.4</v>
      </c>
      <c r="G48" s="64">
        <f>G49+G56+G57</f>
        <v>10653.7</v>
      </c>
      <c r="H48" s="64">
        <f>H49+H56</f>
        <v>50178.6</v>
      </c>
      <c r="I48" s="62">
        <f t="shared" si="1"/>
        <v>100</v>
      </c>
      <c r="J48" s="62">
        <f t="shared" si="2"/>
        <v>80</v>
      </c>
    </row>
    <row r="49" spans="1:10" ht="47.25">
      <c r="A49" s="27" t="s">
        <v>137</v>
      </c>
      <c r="B49" s="27"/>
      <c r="C49" s="28" t="s">
        <v>111</v>
      </c>
      <c r="D49" s="64">
        <f>D50+D51+D52+D53+D54+D55+D56</f>
        <v>35444.75</v>
      </c>
      <c r="E49" s="64">
        <f>E50+E51+E52+E53+E54+E55+E56</f>
        <v>36734</v>
      </c>
      <c r="F49" s="64">
        <f>F50+F51+F52+F53+F54+F55+F56</f>
        <v>36734</v>
      </c>
      <c r="G49" s="64">
        <f>G50+G51+G52+G53+G54+G55</f>
        <v>6885.3</v>
      </c>
      <c r="H49" s="70">
        <f t="shared" si="3"/>
        <v>43619.3</v>
      </c>
      <c r="I49" s="62">
        <f t="shared" si="1"/>
        <v>104</v>
      </c>
      <c r="J49" s="62">
        <f t="shared" si="2"/>
        <v>84</v>
      </c>
    </row>
    <row r="50" spans="1:10" ht="15.75">
      <c r="A50" s="59"/>
      <c r="B50" s="41" t="s">
        <v>75</v>
      </c>
      <c r="C50" s="39" t="s">
        <v>90</v>
      </c>
      <c r="D50" s="34">
        <f>'РОСПИСЬ на 31032016'!D50/4</f>
        <v>24154.4</v>
      </c>
      <c r="E50" s="66">
        <v>29940.3</v>
      </c>
      <c r="F50" s="66">
        <v>29940.3</v>
      </c>
      <c r="G50" s="73">
        <v>0</v>
      </c>
      <c r="H50" s="74">
        <f t="shared" si="3"/>
        <v>29940.3</v>
      </c>
      <c r="I50" s="35">
        <f t="shared" si="1"/>
        <v>124</v>
      </c>
      <c r="J50" s="35">
        <f t="shared" si="2"/>
        <v>100</v>
      </c>
    </row>
    <row r="51" spans="1:10" s="26" customFormat="1" ht="15.75">
      <c r="A51" s="27"/>
      <c r="B51" s="41" t="s">
        <v>31</v>
      </c>
      <c r="C51" s="39" t="s">
        <v>76</v>
      </c>
      <c r="D51" s="34">
        <f>'РОСПИСЬ на 31032016'!D51/4</f>
        <v>740.2</v>
      </c>
      <c r="E51" s="66">
        <v>529.2</v>
      </c>
      <c r="F51" s="66">
        <v>529.2</v>
      </c>
      <c r="G51" s="68">
        <v>342</v>
      </c>
      <c r="H51" s="74">
        <f t="shared" si="3"/>
        <v>871.2</v>
      </c>
      <c r="I51" s="35">
        <f t="shared" si="1"/>
        <v>71</v>
      </c>
      <c r="J51" s="35">
        <f t="shared" si="2"/>
        <v>61</v>
      </c>
    </row>
    <row r="52" spans="1:10" ht="15.75">
      <c r="A52" s="27"/>
      <c r="B52" s="41" t="s">
        <v>77</v>
      </c>
      <c r="C52" s="39" t="s">
        <v>78</v>
      </c>
      <c r="D52" s="34">
        <f>'РОСПИСЬ на 31032016'!D52/4</f>
        <v>1022.53</v>
      </c>
      <c r="E52" s="66">
        <v>1324</v>
      </c>
      <c r="F52" s="66">
        <v>1324</v>
      </c>
      <c r="G52" s="66">
        <v>102.9</v>
      </c>
      <c r="H52" s="74">
        <f t="shared" si="3"/>
        <v>1426.9</v>
      </c>
      <c r="I52" s="35">
        <f t="shared" si="1"/>
        <v>129</v>
      </c>
      <c r="J52" s="35">
        <f t="shared" si="2"/>
        <v>93</v>
      </c>
    </row>
    <row r="53" spans="1:10" s="24" customFormat="1" ht="31.5">
      <c r="A53" s="27"/>
      <c r="B53" s="41" t="s">
        <v>107</v>
      </c>
      <c r="C53" s="42" t="s">
        <v>108</v>
      </c>
      <c r="D53" s="34">
        <f>'РОСПИСЬ на 31032016'!D53/4</f>
        <v>241.23</v>
      </c>
      <c r="E53" s="66">
        <v>31.8</v>
      </c>
      <c r="F53" s="66">
        <v>31.8</v>
      </c>
      <c r="G53" s="66">
        <v>158.5</v>
      </c>
      <c r="H53" s="74">
        <f t="shared" si="3"/>
        <v>190.3</v>
      </c>
      <c r="I53" s="35">
        <f t="shared" si="1"/>
        <v>13</v>
      </c>
      <c r="J53" s="35">
        <f t="shared" si="2"/>
        <v>17</v>
      </c>
    </row>
    <row r="54" spans="1:10" s="24" customFormat="1" ht="15.75">
      <c r="A54" s="27"/>
      <c r="B54" s="41" t="s">
        <v>83</v>
      </c>
      <c r="C54" s="39" t="s">
        <v>84</v>
      </c>
      <c r="D54" s="34">
        <f>'РОСПИСЬ на 31032016'!D54/4</f>
        <v>272.18</v>
      </c>
      <c r="E54" s="66">
        <v>358.6</v>
      </c>
      <c r="F54" s="66">
        <v>358.6</v>
      </c>
      <c r="G54" s="74">
        <v>93.1</v>
      </c>
      <c r="H54" s="74">
        <f t="shared" si="3"/>
        <v>451.7</v>
      </c>
      <c r="I54" s="35">
        <f t="shared" si="1"/>
        <v>132</v>
      </c>
      <c r="J54" s="35">
        <f t="shared" si="2"/>
        <v>79</v>
      </c>
    </row>
    <row r="55" spans="1:10" s="24" customFormat="1" ht="15.75">
      <c r="A55" s="27"/>
      <c r="B55" s="41"/>
      <c r="C55" s="39" t="s">
        <v>85</v>
      </c>
      <c r="D55" s="34">
        <f>'РОСПИСЬ на 31032016'!D55/4</f>
        <v>4669.78</v>
      </c>
      <c r="E55" s="66">
        <v>1474.7</v>
      </c>
      <c r="F55" s="66">
        <v>1474.7</v>
      </c>
      <c r="G55" s="74">
        <v>6188.8</v>
      </c>
      <c r="H55" s="74">
        <f t="shared" si="3"/>
        <v>7663.5</v>
      </c>
      <c r="I55" s="35">
        <f t="shared" si="1"/>
        <v>32</v>
      </c>
      <c r="J55" s="35">
        <f t="shared" si="2"/>
        <v>19</v>
      </c>
    </row>
    <row r="56" spans="1:10" s="29" customFormat="1" ht="63">
      <c r="A56" s="52" t="s">
        <v>138</v>
      </c>
      <c r="B56" s="27"/>
      <c r="C56" s="28" t="s">
        <v>109</v>
      </c>
      <c r="D56" s="10">
        <f>'РОСПИСЬ на 31032016'!D56/4</f>
        <v>4344.43</v>
      </c>
      <c r="E56" s="71">
        <v>3075.4</v>
      </c>
      <c r="F56" s="71">
        <v>3075.4</v>
      </c>
      <c r="G56" s="71">
        <v>3483.9</v>
      </c>
      <c r="H56" s="70">
        <f t="shared" si="3"/>
        <v>6559.3</v>
      </c>
      <c r="I56" s="62">
        <f t="shared" si="1"/>
        <v>71</v>
      </c>
      <c r="J56" s="62">
        <f t="shared" si="2"/>
        <v>47</v>
      </c>
    </row>
    <row r="57" spans="1:12" s="29" customFormat="1" ht="47.25">
      <c r="A57" s="52" t="s">
        <v>187</v>
      </c>
      <c r="B57" s="27" t="s">
        <v>185</v>
      </c>
      <c r="C57" s="28" t="s">
        <v>186</v>
      </c>
      <c r="D57" s="10">
        <f>'РОСПИСЬ на 31032016'!D57/4+284.5</f>
        <v>617.58</v>
      </c>
      <c r="E57" s="71">
        <v>450</v>
      </c>
      <c r="F57" s="71">
        <v>450</v>
      </c>
      <c r="G57" s="71">
        <v>284.5</v>
      </c>
      <c r="H57" s="70">
        <f t="shared" si="3"/>
        <v>734.5</v>
      </c>
      <c r="I57" s="62">
        <f t="shared" si="1"/>
        <v>73</v>
      </c>
      <c r="J57" s="62">
        <f t="shared" si="2"/>
        <v>61</v>
      </c>
      <c r="L57" s="29">
        <f>21282.3+10653.7+5104.3+813.7+80.9+6.6</f>
        <v>37941.5</v>
      </c>
    </row>
    <row r="58" spans="1:10" ht="15.75">
      <c r="A58" s="44" t="s">
        <v>8</v>
      </c>
      <c r="B58" s="44"/>
      <c r="C58" s="45" t="s">
        <v>9</v>
      </c>
      <c r="D58" s="64">
        <f>D59+D89+D96+D103</f>
        <v>866655.97</v>
      </c>
      <c r="E58" s="64">
        <f>E59+E89+E96+E103</f>
        <v>767483.96</v>
      </c>
      <c r="F58" s="64">
        <f>F59+F89+F96+F103</f>
        <v>767483.96</v>
      </c>
      <c r="G58" s="64">
        <f>G59+G89+G96+G103</f>
        <v>5104.3</v>
      </c>
      <c r="H58" s="64">
        <f>H59+H89+H96+H103</f>
        <v>772588.26</v>
      </c>
      <c r="I58" s="62">
        <f t="shared" si="1"/>
        <v>89</v>
      </c>
      <c r="J58" s="62">
        <f t="shared" si="2"/>
        <v>99</v>
      </c>
    </row>
    <row r="59" spans="1:10" s="18" customFormat="1" ht="15.75">
      <c r="A59" s="44"/>
      <c r="B59" s="44"/>
      <c r="C59" s="45" t="s">
        <v>10</v>
      </c>
      <c r="D59" s="64">
        <f>D60+D61+D62+D63+D64+D65+D66+D68+D71+D72+D73+D74+D75+D76+D79+D80+D81+D82+D85+D86+D87</f>
        <v>855155.97</v>
      </c>
      <c r="E59" s="64">
        <f>E60+E61+E62+E63+E64+E65+E66+E68+E71+E72+E73+E74+E75+E76+E79+E80+E81+E82+E85+E86+E87</f>
        <v>756761.26</v>
      </c>
      <c r="F59" s="64">
        <f>F60+F61+F62+F63+F64+F65+F66+F68+F71+F72+F73+F74+F75+F76+F79+F80+F81+F82+F85+F86+F87</f>
        <v>756761.26</v>
      </c>
      <c r="G59" s="64">
        <f>G60+G61+G62+G63+G64+G65+G66+G68+G71+G72+G73+G74+G75+G76+G79+G80+G81+G82+G85+G86+G87</f>
        <v>5104.3</v>
      </c>
      <c r="H59" s="64">
        <f>H60+H61+H62+H63+H64+H65+H66+H68+H71+H72+H73+H74+H75+H76+H79+H80+H81+H82+H85+H86+H87</f>
        <v>761865.56</v>
      </c>
      <c r="I59" s="35">
        <f aca="true" t="shared" si="4" ref="I59:I96">E59*100/D59</f>
        <v>88</v>
      </c>
      <c r="J59" s="35">
        <f aca="true" t="shared" si="5" ref="J59:J106">E59*100/H59</f>
        <v>99</v>
      </c>
    </row>
    <row r="60" spans="1:10" s="18" customFormat="1" ht="35.25" customHeight="1">
      <c r="A60" s="27" t="s">
        <v>139</v>
      </c>
      <c r="B60" s="27"/>
      <c r="C60" s="28" t="s">
        <v>110</v>
      </c>
      <c r="D60" s="34">
        <f>'РОСПИСЬ на 31032016'!D60/4</f>
        <v>53698.45</v>
      </c>
      <c r="E60" s="66">
        <v>49855.8</v>
      </c>
      <c r="F60" s="66">
        <v>49855.8</v>
      </c>
      <c r="G60" s="66">
        <v>3950.1</v>
      </c>
      <c r="H60" s="74">
        <f t="shared" si="3"/>
        <v>53805.9</v>
      </c>
      <c r="I60" s="35">
        <f t="shared" si="4"/>
        <v>93</v>
      </c>
      <c r="J60" s="35">
        <f t="shared" si="5"/>
        <v>93</v>
      </c>
    </row>
    <row r="61" spans="1:10" s="24" customFormat="1" ht="94.5">
      <c r="A61" s="27" t="s">
        <v>140</v>
      </c>
      <c r="B61" s="38"/>
      <c r="C61" s="28" t="s">
        <v>33</v>
      </c>
      <c r="D61" s="34">
        <f>'РОСПИСЬ на 31032016'!D61/4</f>
        <v>697.7</v>
      </c>
      <c r="E61" s="91">
        <v>212.5</v>
      </c>
      <c r="F61" s="91">
        <v>212.5</v>
      </c>
      <c r="G61" s="68"/>
      <c r="H61" s="74">
        <f t="shared" si="3"/>
        <v>212.5</v>
      </c>
      <c r="I61" s="35">
        <f t="shared" si="4"/>
        <v>30</v>
      </c>
      <c r="J61" s="35">
        <f t="shared" si="5"/>
        <v>100</v>
      </c>
    </row>
    <row r="62" spans="1:10" s="24" customFormat="1" ht="48.75" customHeight="1">
      <c r="A62" s="27" t="s">
        <v>141</v>
      </c>
      <c r="B62" s="27"/>
      <c r="C62" s="28" t="s">
        <v>16</v>
      </c>
      <c r="D62" s="34">
        <f>'РОСПИСЬ на 31032016'!D62/4</f>
        <v>1589.6</v>
      </c>
      <c r="E62" s="91">
        <v>595.2</v>
      </c>
      <c r="F62" s="91">
        <v>595.2</v>
      </c>
      <c r="G62" s="68">
        <v>0</v>
      </c>
      <c r="H62" s="74">
        <f t="shared" si="3"/>
        <v>595.2</v>
      </c>
      <c r="I62" s="35">
        <f t="shared" si="4"/>
        <v>37</v>
      </c>
      <c r="J62" s="35">
        <f t="shared" si="5"/>
        <v>100</v>
      </c>
    </row>
    <row r="63" spans="1:10" s="18" customFormat="1" ht="81" customHeight="1">
      <c r="A63" s="27" t="s">
        <v>142</v>
      </c>
      <c r="B63" s="27"/>
      <c r="C63" s="28" t="s">
        <v>22</v>
      </c>
      <c r="D63" s="34">
        <f>'РОСПИСЬ на 31032016'!D63</f>
        <v>12257.6</v>
      </c>
      <c r="E63" s="64">
        <v>11982</v>
      </c>
      <c r="F63" s="64">
        <v>11982</v>
      </c>
      <c r="G63" s="70"/>
      <c r="H63" s="74">
        <f t="shared" si="3"/>
        <v>11982</v>
      </c>
      <c r="I63" s="35">
        <f t="shared" si="4"/>
        <v>98</v>
      </c>
      <c r="J63" s="35">
        <f t="shared" si="5"/>
        <v>100</v>
      </c>
    </row>
    <row r="64" spans="1:10" s="18" customFormat="1" ht="31.5">
      <c r="A64" s="27" t="s">
        <v>143</v>
      </c>
      <c r="B64" s="27"/>
      <c r="C64" s="28" t="s">
        <v>15</v>
      </c>
      <c r="D64" s="34">
        <f>'РОСПИСЬ на 31032016'!D64/4</f>
        <v>44540.73</v>
      </c>
      <c r="E64" s="66">
        <v>42423.3</v>
      </c>
      <c r="F64" s="66">
        <v>42423.3</v>
      </c>
      <c r="G64" s="69"/>
      <c r="H64" s="74">
        <f t="shared" si="3"/>
        <v>42423.3</v>
      </c>
      <c r="I64" s="35">
        <f t="shared" si="4"/>
        <v>95</v>
      </c>
      <c r="J64" s="35">
        <f t="shared" si="5"/>
        <v>100</v>
      </c>
    </row>
    <row r="65" spans="1:10" s="24" customFormat="1" ht="47.25">
      <c r="A65" s="27" t="s">
        <v>144</v>
      </c>
      <c r="B65" s="60"/>
      <c r="C65" s="52" t="s">
        <v>100</v>
      </c>
      <c r="D65" s="34">
        <v>300</v>
      </c>
      <c r="E65" s="66">
        <v>300</v>
      </c>
      <c r="F65" s="66">
        <v>300</v>
      </c>
      <c r="G65" s="73">
        <v>0</v>
      </c>
      <c r="H65" s="74">
        <f>G65+E65</f>
        <v>300</v>
      </c>
      <c r="I65" s="35">
        <f t="shared" si="4"/>
        <v>100</v>
      </c>
      <c r="J65" s="35">
        <f t="shared" si="5"/>
        <v>100</v>
      </c>
    </row>
    <row r="66" spans="1:10" ht="31.5">
      <c r="A66" s="27" t="s">
        <v>145</v>
      </c>
      <c r="B66" s="27"/>
      <c r="C66" s="28" t="s">
        <v>101</v>
      </c>
      <c r="D66" s="34">
        <f>'РОСПИСЬ на 31032016'!D66/4+4284.2</f>
        <v>13946.7</v>
      </c>
      <c r="E66" s="66">
        <v>14044.6</v>
      </c>
      <c r="F66" s="66">
        <v>14044.6</v>
      </c>
      <c r="G66" s="68"/>
      <c r="H66" s="74">
        <f t="shared" si="3"/>
        <v>14044.6</v>
      </c>
      <c r="I66" s="35">
        <f t="shared" si="4"/>
        <v>101</v>
      </c>
      <c r="J66" s="35">
        <f t="shared" si="5"/>
        <v>100</v>
      </c>
    </row>
    <row r="67" spans="1:10" ht="47.25">
      <c r="A67" s="38" t="s">
        <v>146</v>
      </c>
      <c r="B67" s="38" t="s">
        <v>29</v>
      </c>
      <c r="C67" s="42" t="s">
        <v>23</v>
      </c>
      <c r="D67" s="34">
        <f>'РОСПИСЬ на 31032016'!D67/4</f>
        <v>83936.7</v>
      </c>
      <c r="E67" s="63">
        <f>E68+E71</f>
        <v>78606.65</v>
      </c>
      <c r="F67" s="63">
        <f>F68+F71</f>
        <v>78606.65</v>
      </c>
      <c r="G67" s="34">
        <f>G68+G71</f>
        <v>0</v>
      </c>
      <c r="H67" s="34">
        <f>H68+H71</f>
        <v>78606.65</v>
      </c>
      <c r="I67" s="62">
        <f t="shared" si="4"/>
        <v>94</v>
      </c>
      <c r="J67" s="62">
        <f t="shared" si="5"/>
        <v>100</v>
      </c>
    </row>
    <row r="68" spans="1:10" ht="31.5">
      <c r="A68" s="27" t="s">
        <v>147</v>
      </c>
      <c r="B68" s="38"/>
      <c r="C68" s="28" t="s">
        <v>18</v>
      </c>
      <c r="D68" s="34">
        <f>D69+D70</f>
        <v>104485.8</v>
      </c>
      <c r="E68" s="63">
        <f>E69+E70</f>
        <v>75858.05</v>
      </c>
      <c r="F68" s="63">
        <f>F69+F70</f>
        <v>75858.05</v>
      </c>
      <c r="G68" s="34">
        <f>G69+G70</f>
        <v>0</v>
      </c>
      <c r="H68" s="34">
        <f>H69+H70</f>
        <v>75858.05</v>
      </c>
      <c r="I68" s="62">
        <f t="shared" si="4"/>
        <v>73</v>
      </c>
      <c r="J68" s="62">
        <f t="shared" si="5"/>
        <v>100</v>
      </c>
    </row>
    <row r="69" spans="1:10" ht="31.5">
      <c r="A69" s="23"/>
      <c r="B69" s="19" t="s">
        <v>45</v>
      </c>
      <c r="C69" s="22" t="s">
        <v>116</v>
      </c>
      <c r="D69" s="34">
        <f>'РОСПИСЬ на 31032016'!D69/4+15181.8</f>
        <v>61232.9</v>
      </c>
      <c r="E69" s="66">
        <f>44175.89+449+188.85-57.15</f>
        <v>44756.59</v>
      </c>
      <c r="F69" s="66">
        <v>44756.59</v>
      </c>
      <c r="G69" s="74"/>
      <c r="H69" s="74">
        <f t="shared" si="3"/>
        <v>44756.59</v>
      </c>
      <c r="I69" s="35">
        <f t="shared" si="4"/>
        <v>73</v>
      </c>
      <c r="J69" s="35">
        <f t="shared" si="5"/>
        <v>100</v>
      </c>
    </row>
    <row r="70" spans="1:10" ht="31.5">
      <c r="A70" s="21"/>
      <c r="B70" s="19" t="s">
        <v>50</v>
      </c>
      <c r="C70" s="22" t="s">
        <v>34</v>
      </c>
      <c r="D70" s="34">
        <f>'РОСПИСЬ на 31032016'!D70/4+10403.9</f>
        <v>43252.9</v>
      </c>
      <c r="E70" s="66">
        <f>30586.58+461.92+110.11-57.15</f>
        <v>31101.46</v>
      </c>
      <c r="F70" s="66">
        <v>31101.46</v>
      </c>
      <c r="G70" s="74"/>
      <c r="H70" s="74">
        <f aca="true" t="shared" si="6" ref="H70:H109">G70+E70</f>
        <v>31101.46</v>
      </c>
      <c r="I70" s="35">
        <f t="shared" si="4"/>
        <v>72</v>
      </c>
      <c r="J70" s="35">
        <f t="shared" si="5"/>
        <v>100</v>
      </c>
    </row>
    <row r="71" spans="1:10" ht="47.25">
      <c r="A71" s="23" t="s">
        <v>148</v>
      </c>
      <c r="B71" s="19"/>
      <c r="C71" s="3" t="s">
        <v>24</v>
      </c>
      <c r="D71" s="34">
        <f>'РОСПИСЬ на 31032016'!D71/4</f>
        <v>5036.6</v>
      </c>
      <c r="E71" s="66">
        <v>2748.6</v>
      </c>
      <c r="F71" s="66">
        <v>2748.6</v>
      </c>
      <c r="G71" s="74">
        <v>0</v>
      </c>
      <c r="H71" s="74">
        <f t="shared" si="6"/>
        <v>2748.6</v>
      </c>
      <c r="I71" s="35">
        <f t="shared" si="4"/>
        <v>55</v>
      </c>
      <c r="J71" s="35">
        <f t="shared" si="5"/>
        <v>100</v>
      </c>
    </row>
    <row r="72" spans="1:10" s="24" customFormat="1" ht="47.25">
      <c r="A72" s="23" t="s">
        <v>149</v>
      </c>
      <c r="B72" s="23" t="s">
        <v>2</v>
      </c>
      <c r="C72" s="3" t="s">
        <v>67</v>
      </c>
      <c r="D72" s="10">
        <f>'РОСПИСЬ на 31032016'!D72/4</f>
        <v>206306.08</v>
      </c>
      <c r="E72" s="71">
        <v>202860.3</v>
      </c>
      <c r="F72" s="71">
        <v>202860.3</v>
      </c>
      <c r="G72" s="75">
        <v>0</v>
      </c>
      <c r="H72" s="74">
        <f t="shared" si="6"/>
        <v>202860.3</v>
      </c>
      <c r="I72" s="35">
        <f t="shared" si="4"/>
        <v>98</v>
      </c>
      <c r="J72" s="35">
        <f t="shared" si="5"/>
        <v>100</v>
      </c>
    </row>
    <row r="73" spans="1:10" ht="94.5">
      <c r="A73" s="23" t="s">
        <v>150</v>
      </c>
      <c r="B73" s="23"/>
      <c r="C73" s="3" t="s">
        <v>25</v>
      </c>
      <c r="D73" s="10">
        <f>'РОСПИСЬ на 31032016'!D73/4</f>
        <v>7.6</v>
      </c>
      <c r="E73" s="64">
        <v>7.1</v>
      </c>
      <c r="F73" s="64">
        <v>7.1</v>
      </c>
      <c r="G73" s="69">
        <v>0</v>
      </c>
      <c r="H73" s="74">
        <f t="shared" si="6"/>
        <v>7.1</v>
      </c>
      <c r="I73" s="35">
        <f t="shared" si="4"/>
        <v>93</v>
      </c>
      <c r="J73" s="35">
        <f t="shared" si="5"/>
        <v>100</v>
      </c>
    </row>
    <row r="74" spans="1:10" ht="94.5">
      <c r="A74" s="23" t="s">
        <v>151</v>
      </c>
      <c r="B74" s="23" t="s">
        <v>42</v>
      </c>
      <c r="C74" s="3" t="s">
        <v>26</v>
      </c>
      <c r="D74" s="10">
        <f>'РОСПИСЬ на 31032016'!D74/4</f>
        <v>3.8</v>
      </c>
      <c r="E74" s="64">
        <v>2</v>
      </c>
      <c r="F74" s="64">
        <v>2</v>
      </c>
      <c r="G74" s="66">
        <v>0</v>
      </c>
      <c r="H74" s="74">
        <f t="shared" si="6"/>
        <v>2</v>
      </c>
      <c r="I74" s="35">
        <f t="shared" si="4"/>
        <v>53</v>
      </c>
      <c r="J74" s="35">
        <f t="shared" si="5"/>
        <v>100</v>
      </c>
    </row>
    <row r="75" spans="1:10" ht="173.25">
      <c r="A75" s="27" t="s">
        <v>152</v>
      </c>
      <c r="B75" s="27" t="s">
        <v>45</v>
      </c>
      <c r="C75" s="28" t="s">
        <v>39</v>
      </c>
      <c r="D75" s="10">
        <f>'РОСПИСЬ на 31032016'!D75/3.3</f>
        <v>118505.64</v>
      </c>
      <c r="E75" s="71">
        <v>113480.2</v>
      </c>
      <c r="F75" s="71">
        <v>113480.2</v>
      </c>
      <c r="G75" s="75">
        <v>0</v>
      </c>
      <c r="H75" s="74">
        <f t="shared" si="6"/>
        <v>113480.2</v>
      </c>
      <c r="I75" s="35">
        <f t="shared" si="4"/>
        <v>96</v>
      </c>
      <c r="J75" s="35">
        <f t="shared" si="5"/>
        <v>100</v>
      </c>
    </row>
    <row r="76" spans="1:10" ht="78.75">
      <c r="A76" s="16" t="s">
        <v>153</v>
      </c>
      <c r="B76" s="19"/>
      <c r="C76" s="17" t="s">
        <v>35</v>
      </c>
      <c r="D76" s="72">
        <f>D77+D78</f>
        <v>127843.65</v>
      </c>
      <c r="E76" s="72">
        <f>E77+E78</f>
        <v>92479.04</v>
      </c>
      <c r="F76" s="72">
        <f>F77+F78</f>
        <v>92479.04</v>
      </c>
      <c r="G76" s="67">
        <f>G77+G80</f>
        <v>0</v>
      </c>
      <c r="H76" s="74">
        <f t="shared" si="6"/>
        <v>92479.04</v>
      </c>
      <c r="I76" s="35">
        <f t="shared" si="4"/>
        <v>72</v>
      </c>
      <c r="J76" s="35">
        <f t="shared" si="5"/>
        <v>100</v>
      </c>
    </row>
    <row r="77" spans="1:10" ht="31.5">
      <c r="A77" s="19"/>
      <c r="B77" s="19" t="s">
        <v>45</v>
      </c>
      <c r="C77" s="20" t="s">
        <v>115</v>
      </c>
      <c r="D77" s="34">
        <f>'РОСПИСЬ на 31032016'!D77/4+21333.5</f>
        <v>86533.75</v>
      </c>
      <c r="E77" s="63">
        <f>62211.77+697.41+196.46</f>
        <v>63105.64</v>
      </c>
      <c r="F77" s="63">
        <v>63105.64</v>
      </c>
      <c r="G77" s="10">
        <f>G78+G79</f>
        <v>0</v>
      </c>
      <c r="H77" s="74">
        <f t="shared" si="6"/>
        <v>63105.64</v>
      </c>
      <c r="I77" s="35">
        <f t="shared" si="4"/>
        <v>73</v>
      </c>
      <c r="J77" s="35">
        <f t="shared" si="5"/>
        <v>100</v>
      </c>
    </row>
    <row r="78" spans="1:10" ht="47.25">
      <c r="A78" s="19"/>
      <c r="B78" s="19" t="s">
        <v>50</v>
      </c>
      <c r="C78" s="20" t="s">
        <v>36</v>
      </c>
      <c r="D78" s="34">
        <f>'РОСПИСЬ на 31032016'!D78/4+9837.5</f>
        <v>41309.9</v>
      </c>
      <c r="E78" s="66">
        <v>29373.4</v>
      </c>
      <c r="F78" s="66">
        <v>29373.4</v>
      </c>
      <c r="G78" s="69">
        <v>0</v>
      </c>
      <c r="H78" s="74">
        <f t="shared" si="6"/>
        <v>29373.4</v>
      </c>
      <c r="I78" s="35">
        <f t="shared" si="4"/>
        <v>71</v>
      </c>
      <c r="J78" s="35">
        <f t="shared" si="5"/>
        <v>100</v>
      </c>
    </row>
    <row r="79" spans="1:10" ht="63">
      <c r="A79" s="23" t="s">
        <v>154</v>
      </c>
      <c r="B79" s="23" t="s">
        <v>42</v>
      </c>
      <c r="C79" s="3" t="s">
        <v>27</v>
      </c>
      <c r="D79" s="10">
        <f>'РОСПИСЬ на 31032016'!D79/4+35913.7</f>
        <v>73329.38</v>
      </c>
      <c r="E79" s="67">
        <v>66216.3</v>
      </c>
      <c r="F79" s="67">
        <v>66216.3</v>
      </c>
      <c r="G79" s="74">
        <v>0</v>
      </c>
      <c r="H79" s="74">
        <f t="shared" si="6"/>
        <v>66216.3</v>
      </c>
      <c r="I79" s="35">
        <f t="shared" si="4"/>
        <v>90</v>
      </c>
      <c r="J79" s="35">
        <f t="shared" si="5"/>
        <v>100</v>
      </c>
    </row>
    <row r="80" spans="1:10" ht="63">
      <c r="A80" s="23" t="s">
        <v>155</v>
      </c>
      <c r="B80" s="23" t="s">
        <v>45</v>
      </c>
      <c r="C80" s="3" t="s">
        <v>37</v>
      </c>
      <c r="D80" s="10">
        <f>'РОСПИСЬ на 31032016'!D80/4+14817.3</f>
        <v>44939.18</v>
      </c>
      <c r="E80" s="72">
        <v>44551.2</v>
      </c>
      <c r="F80" s="72">
        <v>44551.2</v>
      </c>
      <c r="G80" s="74">
        <v>0</v>
      </c>
      <c r="H80" s="74">
        <f t="shared" si="6"/>
        <v>44551.2</v>
      </c>
      <c r="I80" s="35">
        <f t="shared" si="4"/>
        <v>99</v>
      </c>
      <c r="J80" s="35">
        <f t="shared" si="5"/>
        <v>100</v>
      </c>
    </row>
    <row r="81" spans="1:10" ht="47.25">
      <c r="A81" s="16" t="s">
        <v>156</v>
      </c>
      <c r="B81" s="16" t="s">
        <v>45</v>
      </c>
      <c r="C81" s="17" t="s">
        <v>66</v>
      </c>
      <c r="D81" s="10">
        <f>'РОСПИСЬ на 31032016'!D81/4</f>
        <v>573.85</v>
      </c>
      <c r="E81" s="67">
        <v>241.5</v>
      </c>
      <c r="F81" s="67">
        <v>241.5</v>
      </c>
      <c r="G81" s="74">
        <v>0</v>
      </c>
      <c r="H81" s="74">
        <f t="shared" si="6"/>
        <v>241.5</v>
      </c>
      <c r="I81" s="35">
        <f t="shared" si="4"/>
        <v>42</v>
      </c>
      <c r="J81" s="35">
        <f t="shared" si="5"/>
        <v>100</v>
      </c>
    </row>
    <row r="82" spans="1:10" ht="37.5" customHeight="1">
      <c r="A82" s="23" t="s">
        <v>157</v>
      </c>
      <c r="B82" s="16"/>
      <c r="C82" s="3" t="s">
        <v>49</v>
      </c>
      <c r="D82" s="72">
        <f>D83+D84</f>
        <v>41063.28</v>
      </c>
      <c r="E82" s="72">
        <f>E83+E84</f>
        <v>34681.57</v>
      </c>
      <c r="F82" s="72">
        <f>F83+F84</f>
        <v>34681.57</v>
      </c>
      <c r="G82" s="74">
        <v>0</v>
      </c>
      <c r="H82" s="74">
        <f t="shared" si="6"/>
        <v>34681.57</v>
      </c>
      <c r="I82" s="35">
        <f t="shared" si="4"/>
        <v>84</v>
      </c>
      <c r="J82" s="35">
        <f t="shared" si="5"/>
        <v>100</v>
      </c>
    </row>
    <row r="83" spans="1:10" s="18" customFormat="1" ht="47.25">
      <c r="A83" s="19"/>
      <c r="B83" s="19" t="s">
        <v>50</v>
      </c>
      <c r="C83" s="20" t="s">
        <v>38</v>
      </c>
      <c r="D83" s="34">
        <f>'РОСПИСЬ на 31032016'!D83/4+1178.9</f>
        <v>4978.28</v>
      </c>
      <c r="E83" s="66">
        <f>3374.24+8.07+46.32+5.84</f>
        <v>3434.47</v>
      </c>
      <c r="F83" s="66">
        <v>3434.47</v>
      </c>
      <c r="G83" s="69">
        <v>0</v>
      </c>
      <c r="H83" s="74">
        <f t="shared" si="6"/>
        <v>3434.47</v>
      </c>
      <c r="I83" s="35">
        <f t="shared" si="4"/>
        <v>69</v>
      </c>
      <c r="J83" s="35">
        <f t="shared" si="5"/>
        <v>100</v>
      </c>
    </row>
    <row r="84" spans="1:10" ht="47.25">
      <c r="A84" s="23"/>
      <c r="B84" s="19" t="s">
        <v>45</v>
      </c>
      <c r="C84" s="20" t="s">
        <v>48</v>
      </c>
      <c r="D84" s="34">
        <f>'РОСПИСЬ на 31032016'!D84/4+11169.3</f>
        <v>36085</v>
      </c>
      <c r="E84" s="66">
        <f>30791.43+109.5+346.17</f>
        <v>31247.1</v>
      </c>
      <c r="F84" s="66">
        <f>30791.43+109.5+346.17</f>
        <v>31247.1</v>
      </c>
      <c r="G84" s="74">
        <v>0</v>
      </c>
      <c r="H84" s="74">
        <f t="shared" si="6"/>
        <v>31247.1</v>
      </c>
      <c r="I84" s="35">
        <f t="shared" si="4"/>
        <v>87</v>
      </c>
      <c r="J84" s="35">
        <f t="shared" si="5"/>
        <v>100</v>
      </c>
    </row>
    <row r="85" spans="1:10" ht="47.25">
      <c r="A85" s="23" t="s">
        <v>158</v>
      </c>
      <c r="B85" s="16"/>
      <c r="C85" s="3" t="s">
        <v>102</v>
      </c>
      <c r="D85" s="34">
        <f>'РОСПИСЬ на 31032016'!D85/4</f>
        <v>4783.63</v>
      </c>
      <c r="E85" s="64">
        <v>4222</v>
      </c>
      <c r="F85" s="64">
        <v>4222</v>
      </c>
      <c r="G85" s="69">
        <v>0</v>
      </c>
      <c r="H85" s="74">
        <f t="shared" si="6"/>
        <v>4222</v>
      </c>
      <c r="I85" s="35">
        <f t="shared" si="4"/>
        <v>88</v>
      </c>
      <c r="J85" s="35">
        <f t="shared" si="5"/>
        <v>100</v>
      </c>
    </row>
    <row r="86" spans="1:10" ht="47.25">
      <c r="A86" s="19" t="s">
        <v>159</v>
      </c>
      <c r="B86" s="19" t="s">
        <v>41</v>
      </c>
      <c r="C86" s="61" t="s">
        <v>91</v>
      </c>
      <c r="D86" s="34">
        <f>'РОСПИСЬ на 31032016'!D86/4</f>
        <v>92.5</v>
      </c>
      <c r="E86" s="66">
        <v>0</v>
      </c>
      <c r="F86" s="66">
        <v>0</v>
      </c>
      <c r="G86" s="69">
        <v>0</v>
      </c>
      <c r="H86" s="74">
        <f t="shared" si="6"/>
        <v>0</v>
      </c>
      <c r="I86" s="35">
        <f t="shared" si="4"/>
        <v>0</v>
      </c>
      <c r="J86" s="35">
        <v>0</v>
      </c>
    </row>
    <row r="87" spans="1:10" ht="63">
      <c r="A87" s="19" t="s">
        <v>160</v>
      </c>
      <c r="B87" s="19"/>
      <c r="C87" s="17" t="s">
        <v>117</v>
      </c>
      <c r="D87" s="34">
        <f>D88</f>
        <v>1154.2</v>
      </c>
      <c r="E87" s="63">
        <f>E88</f>
        <v>0</v>
      </c>
      <c r="F87" s="63">
        <f>F88</f>
        <v>0</v>
      </c>
      <c r="G87" s="63">
        <f>G88</f>
        <v>1154.2</v>
      </c>
      <c r="H87" s="63">
        <f>H88</f>
        <v>1154.2</v>
      </c>
      <c r="I87" s="35">
        <f t="shared" si="4"/>
        <v>0</v>
      </c>
      <c r="J87" s="35">
        <f t="shared" si="5"/>
        <v>0</v>
      </c>
    </row>
    <row r="88" spans="1:10" ht="15.75">
      <c r="A88" s="19" t="s">
        <v>160</v>
      </c>
      <c r="B88" s="19" t="s">
        <v>41</v>
      </c>
      <c r="C88" s="20" t="s">
        <v>43</v>
      </c>
      <c r="D88" s="34">
        <v>1154.2</v>
      </c>
      <c r="E88" s="76">
        <v>0</v>
      </c>
      <c r="F88" s="76">
        <v>0</v>
      </c>
      <c r="G88" s="74">
        <v>1154.2</v>
      </c>
      <c r="H88" s="74">
        <f t="shared" si="6"/>
        <v>1154.2</v>
      </c>
      <c r="I88" s="35">
        <f t="shared" si="4"/>
        <v>0</v>
      </c>
      <c r="J88" s="35">
        <f t="shared" si="5"/>
        <v>0</v>
      </c>
    </row>
    <row r="89" spans="1:10" ht="47.25">
      <c r="A89" s="19"/>
      <c r="B89" s="19"/>
      <c r="C89" s="17" t="s">
        <v>103</v>
      </c>
      <c r="D89" s="10">
        <f>D90+D91</f>
        <v>2000</v>
      </c>
      <c r="E89" s="55">
        <f>E90+E91</f>
        <v>1472.7</v>
      </c>
      <c r="F89" s="55">
        <f>F90+F91</f>
        <v>1472.7</v>
      </c>
      <c r="G89" s="10">
        <f>G90+G91</f>
        <v>0</v>
      </c>
      <c r="H89" s="10">
        <f>H90+H91</f>
        <v>1472.7</v>
      </c>
      <c r="I89" s="35">
        <f t="shared" si="4"/>
        <v>74</v>
      </c>
      <c r="J89" s="35">
        <f t="shared" si="5"/>
        <v>100</v>
      </c>
    </row>
    <row r="90" spans="1:10" ht="31.5">
      <c r="A90" s="19" t="s">
        <v>161</v>
      </c>
      <c r="B90" s="19" t="s">
        <v>42</v>
      </c>
      <c r="C90" s="20" t="s">
        <v>40</v>
      </c>
      <c r="D90" s="10">
        <f>'РОСПИСЬ на 31032016'!D90/4</f>
        <v>2000</v>
      </c>
      <c r="E90" s="76">
        <v>1472.7</v>
      </c>
      <c r="F90" s="76">
        <v>1472.7</v>
      </c>
      <c r="G90" s="74">
        <v>0</v>
      </c>
      <c r="H90" s="74">
        <f t="shared" si="6"/>
        <v>1472.7</v>
      </c>
      <c r="I90" s="35">
        <f t="shared" si="4"/>
        <v>74</v>
      </c>
      <c r="J90" s="35">
        <f t="shared" si="5"/>
        <v>100</v>
      </c>
    </row>
    <row r="91" spans="1:10" ht="15.75">
      <c r="A91" s="19" t="s">
        <v>162</v>
      </c>
      <c r="B91" s="19" t="s">
        <v>41</v>
      </c>
      <c r="C91" s="20" t="s">
        <v>43</v>
      </c>
      <c r="D91" s="64">
        <v>0</v>
      </c>
      <c r="E91" s="76">
        <v>0</v>
      </c>
      <c r="F91" s="76">
        <v>0</v>
      </c>
      <c r="G91" s="74">
        <v>0</v>
      </c>
      <c r="H91" s="74">
        <f t="shared" si="6"/>
        <v>0</v>
      </c>
      <c r="I91" s="35">
        <v>0</v>
      </c>
      <c r="J91" s="35">
        <v>0</v>
      </c>
    </row>
    <row r="92" spans="1:10" ht="47.25">
      <c r="A92" s="23" t="s">
        <v>163</v>
      </c>
      <c r="B92" s="16"/>
      <c r="C92" s="17" t="s">
        <v>59</v>
      </c>
      <c r="D92" s="10">
        <f>D93+D94+D95</f>
        <v>0</v>
      </c>
      <c r="E92" s="55">
        <f>E93+E94+E95</f>
        <v>108.5</v>
      </c>
      <c r="F92" s="55">
        <f>F93+F94+F95</f>
        <v>108.5</v>
      </c>
      <c r="G92" s="34">
        <f>G93+G94+G95</f>
        <v>0</v>
      </c>
      <c r="H92" s="34">
        <f>H93+H94+H95</f>
        <v>108.5</v>
      </c>
      <c r="I92" s="35">
        <v>0</v>
      </c>
      <c r="J92" s="35">
        <f t="shared" si="5"/>
        <v>100</v>
      </c>
    </row>
    <row r="93" spans="1:10" ht="78.75">
      <c r="A93" s="19" t="s">
        <v>164</v>
      </c>
      <c r="B93" s="19" t="s">
        <v>42</v>
      </c>
      <c r="C93" s="20" t="s">
        <v>104</v>
      </c>
      <c r="D93" s="34">
        <v>0</v>
      </c>
      <c r="E93" s="76">
        <v>0</v>
      </c>
      <c r="F93" s="76">
        <v>0</v>
      </c>
      <c r="G93" s="74">
        <v>0</v>
      </c>
      <c r="H93" s="74">
        <f t="shared" si="6"/>
        <v>0</v>
      </c>
      <c r="I93" s="35">
        <v>0</v>
      </c>
      <c r="J93" s="35">
        <v>0</v>
      </c>
    </row>
    <row r="94" spans="1:10" ht="15.75">
      <c r="A94" s="19" t="s">
        <v>165</v>
      </c>
      <c r="B94" s="19" t="s">
        <v>31</v>
      </c>
      <c r="C94" s="20" t="s">
        <v>76</v>
      </c>
      <c r="D94" s="64">
        <v>0</v>
      </c>
      <c r="E94" s="77">
        <v>0</v>
      </c>
      <c r="F94" s="77">
        <v>0</v>
      </c>
      <c r="G94" s="74">
        <v>0</v>
      </c>
      <c r="H94" s="74">
        <f t="shared" si="6"/>
        <v>0</v>
      </c>
      <c r="I94" s="35">
        <v>0</v>
      </c>
      <c r="J94" s="35">
        <v>0</v>
      </c>
    </row>
    <row r="95" spans="1:10" ht="63">
      <c r="A95" s="19" t="s">
        <v>166</v>
      </c>
      <c r="B95" s="19" t="s">
        <v>42</v>
      </c>
      <c r="C95" s="37" t="s">
        <v>99</v>
      </c>
      <c r="D95" s="34">
        <v>0</v>
      </c>
      <c r="E95" s="76">
        <v>108.5</v>
      </c>
      <c r="F95" s="76">
        <v>108.5</v>
      </c>
      <c r="G95" s="74">
        <v>0</v>
      </c>
      <c r="H95" s="74">
        <f t="shared" si="6"/>
        <v>108.5</v>
      </c>
      <c r="I95" s="35">
        <v>0</v>
      </c>
      <c r="J95" s="35">
        <f t="shared" si="5"/>
        <v>100</v>
      </c>
    </row>
    <row r="96" spans="1:10" ht="63">
      <c r="A96" s="16"/>
      <c r="B96" s="16"/>
      <c r="C96" s="17" t="s">
        <v>105</v>
      </c>
      <c r="D96" s="10">
        <f>D97+D98+D99</f>
        <v>9500</v>
      </c>
      <c r="E96" s="55">
        <f>E97+E98+E99</f>
        <v>9250</v>
      </c>
      <c r="F96" s="55">
        <f>F97+F98+F99</f>
        <v>9250</v>
      </c>
      <c r="G96" s="10">
        <f>G97+G98+G99</f>
        <v>0</v>
      </c>
      <c r="H96" s="10">
        <f>H97+H98+H99</f>
        <v>9250</v>
      </c>
      <c r="I96" s="35">
        <f t="shared" si="4"/>
        <v>97</v>
      </c>
      <c r="J96" s="35">
        <f t="shared" si="5"/>
        <v>100</v>
      </c>
    </row>
    <row r="97" spans="1:10" ht="78.75">
      <c r="A97" s="19" t="s">
        <v>167</v>
      </c>
      <c r="B97" s="19" t="s">
        <v>42</v>
      </c>
      <c r="C97" s="20" t="s">
        <v>32</v>
      </c>
      <c r="D97" s="10">
        <v>9500</v>
      </c>
      <c r="E97" s="76">
        <v>9250</v>
      </c>
      <c r="F97" s="76">
        <v>9250</v>
      </c>
      <c r="G97" s="74">
        <v>0</v>
      </c>
      <c r="H97" s="74">
        <f t="shared" si="6"/>
        <v>9250</v>
      </c>
      <c r="I97" s="35">
        <f>E97*100/D97</f>
        <v>97</v>
      </c>
      <c r="J97" s="35">
        <f t="shared" si="5"/>
        <v>100</v>
      </c>
    </row>
    <row r="98" spans="1:10" ht="94.5">
      <c r="A98" s="19" t="s">
        <v>167</v>
      </c>
      <c r="B98" s="19" t="s">
        <v>42</v>
      </c>
      <c r="C98" s="20" t="s">
        <v>60</v>
      </c>
      <c r="D98" s="34">
        <v>0</v>
      </c>
      <c r="E98" s="76">
        <v>0</v>
      </c>
      <c r="F98" s="76">
        <v>0</v>
      </c>
      <c r="G98" s="74">
        <v>0</v>
      </c>
      <c r="H98" s="74">
        <f t="shared" si="6"/>
        <v>0</v>
      </c>
      <c r="I98" s="35">
        <v>0</v>
      </c>
      <c r="J98" s="35">
        <v>0</v>
      </c>
    </row>
    <row r="99" spans="1:10" ht="15.75">
      <c r="A99" s="19" t="s">
        <v>168</v>
      </c>
      <c r="B99" s="19" t="s">
        <v>47</v>
      </c>
      <c r="C99" s="20" t="s">
        <v>69</v>
      </c>
      <c r="D99" s="34">
        <v>0</v>
      </c>
      <c r="E99" s="76">
        <v>0</v>
      </c>
      <c r="F99" s="76">
        <v>0</v>
      </c>
      <c r="G99" s="74">
        <v>0</v>
      </c>
      <c r="H99" s="74">
        <f t="shared" si="6"/>
        <v>0</v>
      </c>
      <c r="I99" s="35">
        <v>0</v>
      </c>
      <c r="J99" s="35">
        <v>0</v>
      </c>
    </row>
    <row r="100" spans="1:10" ht="47.25">
      <c r="A100" s="19"/>
      <c r="B100" s="19"/>
      <c r="C100" s="3" t="s">
        <v>113</v>
      </c>
      <c r="D100" s="10">
        <f>D101+D102</f>
        <v>1843.6</v>
      </c>
      <c r="E100" s="55">
        <f>E101+E102</f>
        <v>1843.6</v>
      </c>
      <c r="F100" s="55">
        <f>F101+F102</f>
        <v>1843.6</v>
      </c>
      <c r="G100" s="10">
        <f>G101+G102</f>
        <v>0</v>
      </c>
      <c r="H100" s="10">
        <f>H101+H102</f>
        <v>1843.6</v>
      </c>
      <c r="I100" s="35">
        <f aca="true" t="shared" si="7" ref="I100:I106">E100*100/D100</f>
        <v>100</v>
      </c>
      <c r="J100" s="35">
        <f t="shared" si="5"/>
        <v>100</v>
      </c>
    </row>
    <row r="101" spans="1:10" ht="94.5">
      <c r="A101" s="19" t="s">
        <v>169</v>
      </c>
      <c r="B101" s="19" t="s">
        <v>42</v>
      </c>
      <c r="C101" s="20" t="s">
        <v>65</v>
      </c>
      <c r="D101" s="34">
        <v>1824</v>
      </c>
      <c r="E101" s="76">
        <v>1824</v>
      </c>
      <c r="F101" s="76">
        <v>1824</v>
      </c>
      <c r="G101" s="74">
        <v>0</v>
      </c>
      <c r="H101" s="74">
        <f t="shared" si="6"/>
        <v>1824</v>
      </c>
      <c r="I101" s="35">
        <f t="shared" si="7"/>
        <v>100</v>
      </c>
      <c r="J101" s="35">
        <f t="shared" si="5"/>
        <v>100</v>
      </c>
    </row>
    <row r="102" spans="1:10" ht="15.75">
      <c r="A102" s="19" t="s">
        <v>170</v>
      </c>
      <c r="B102" s="19" t="s">
        <v>41</v>
      </c>
      <c r="C102" s="20" t="s">
        <v>43</v>
      </c>
      <c r="D102" s="66">
        <v>19.6</v>
      </c>
      <c r="E102" s="63">
        <v>19.6</v>
      </c>
      <c r="F102" s="63">
        <v>19.6</v>
      </c>
      <c r="G102" s="34">
        <v>0</v>
      </c>
      <c r="H102" s="74">
        <f t="shared" si="6"/>
        <v>19.6</v>
      </c>
      <c r="I102" s="35">
        <f t="shared" si="7"/>
        <v>100</v>
      </c>
      <c r="J102" s="35">
        <f t="shared" si="5"/>
        <v>100</v>
      </c>
    </row>
    <row r="103" spans="1:10" ht="15.75">
      <c r="A103" s="16" t="s">
        <v>53</v>
      </c>
      <c r="B103" s="47"/>
      <c r="C103" s="15" t="s">
        <v>11</v>
      </c>
      <c r="D103" s="34">
        <f>D104</f>
        <v>0</v>
      </c>
      <c r="E103" s="63">
        <f>E104</f>
        <v>0</v>
      </c>
      <c r="F103" s="63">
        <f>F104</f>
        <v>0</v>
      </c>
      <c r="G103" s="34">
        <f>G104</f>
        <v>0</v>
      </c>
      <c r="H103" s="34">
        <f>H104</f>
        <v>0</v>
      </c>
      <c r="I103" s="35">
        <v>0</v>
      </c>
      <c r="J103" s="35">
        <v>0</v>
      </c>
    </row>
    <row r="104" spans="1:10" ht="94.5">
      <c r="A104" s="19" t="s">
        <v>171</v>
      </c>
      <c r="B104" s="19" t="s">
        <v>54</v>
      </c>
      <c r="C104" s="12" t="s">
        <v>28</v>
      </c>
      <c r="D104" s="34">
        <v>0</v>
      </c>
      <c r="E104" s="76">
        <v>0</v>
      </c>
      <c r="F104" s="76">
        <v>0</v>
      </c>
      <c r="G104" s="74">
        <v>0</v>
      </c>
      <c r="H104" s="74">
        <f t="shared" si="6"/>
        <v>0</v>
      </c>
      <c r="I104" s="35">
        <v>0</v>
      </c>
      <c r="J104" s="35">
        <v>0</v>
      </c>
    </row>
    <row r="105" spans="1:10" ht="31.5">
      <c r="A105" s="23" t="s">
        <v>12</v>
      </c>
      <c r="B105" s="23"/>
      <c r="C105" s="31" t="s">
        <v>13</v>
      </c>
      <c r="D105" s="71">
        <f>D106+D107</f>
        <v>22347.3</v>
      </c>
      <c r="E105" s="71">
        <f>E106+E107</f>
        <v>22646.1</v>
      </c>
      <c r="F105" s="71">
        <f>F106+F107</f>
        <v>22646.1</v>
      </c>
      <c r="G105" s="71">
        <f>G106+G107</f>
        <v>813.7</v>
      </c>
      <c r="H105" s="71">
        <f>H106+H107</f>
        <v>23459.8</v>
      </c>
      <c r="I105" s="35">
        <f t="shared" si="7"/>
        <v>101</v>
      </c>
      <c r="J105" s="35">
        <f t="shared" si="5"/>
        <v>97</v>
      </c>
    </row>
    <row r="106" spans="1:10" ht="110.25">
      <c r="A106" s="16" t="s">
        <v>172</v>
      </c>
      <c r="B106" s="16"/>
      <c r="C106" s="17" t="s">
        <v>14</v>
      </c>
      <c r="D106" s="34">
        <f>'РОСПИСЬ на 31032016'!D106/4</f>
        <v>22347.3</v>
      </c>
      <c r="E106" s="76">
        <v>22646.1</v>
      </c>
      <c r="F106" s="76">
        <v>22646.1</v>
      </c>
      <c r="G106" s="74">
        <v>813.7</v>
      </c>
      <c r="H106" s="74">
        <f t="shared" si="6"/>
        <v>23459.8</v>
      </c>
      <c r="I106" s="35">
        <f t="shared" si="7"/>
        <v>101</v>
      </c>
      <c r="J106" s="35">
        <f t="shared" si="5"/>
        <v>97</v>
      </c>
    </row>
    <row r="107" spans="1:10" ht="31.5">
      <c r="A107" s="15"/>
      <c r="B107" s="11"/>
      <c r="C107" s="17" t="s">
        <v>70</v>
      </c>
      <c r="D107" s="34">
        <f>D108+D109</f>
        <v>0</v>
      </c>
      <c r="E107" s="63">
        <f>E108+E109</f>
        <v>0</v>
      </c>
      <c r="F107" s="63">
        <f>F108+F109</f>
        <v>0</v>
      </c>
      <c r="G107" s="34">
        <f>G108+G109</f>
        <v>0</v>
      </c>
      <c r="H107" s="34">
        <f>H108+H109</f>
        <v>0</v>
      </c>
      <c r="I107" s="35">
        <v>0</v>
      </c>
      <c r="J107" s="35">
        <v>0</v>
      </c>
    </row>
    <row r="108" spans="1:10" ht="31.5">
      <c r="A108" s="11" t="s">
        <v>173</v>
      </c>
      <c r="B108" s="11" t="s">
        <v>46</v>
      </c>
      <c r="C108" s="4" t="s">
        <v>61</v>
      </c>
      <c r="D108" s="10">
        <v>0</v>
      </c>
      <c r="E108" s="77">
        <v>0</v>
      </c>
      <c r="F108" s="77">
        <v>0</v>
      </c>
      <c r="G108" s="74">
        <v>0</v>
      </c>
      <c r="H108" s="74">
        <f t="shared" si="6"/>
        <v>0</v>
      </c>
      <c r="I108" s="35">
        <v>0</v>
      </c>
      <c r="J108" s="35">
        <v>0</v>
      </c>
    </row>
    <row r="109" spans="1:10" ht="31.5">
      <c r="A109" s="11" t="s">
        <v>173</v>
      </c>
      <c r="B109" s="12">
        <v>310100</v>
      </c>
      <c r="C109" s="12" t="s">
        <v>55</v>
      </c>
      <c r="D109" s="64">
        <v>0</v>
      </c>
      <c r="E109" s="77">
        <v>0</v>
      </c>
      <c r="F109" s="77">
        <v>0</v>
      </c>
      <c r="G109" s="74">
        <v>0</v>
      </c>
      <c r="H109" s="70">
        <f t="shared" si="6"/>
        <v>0</v>
      </c>
      <c r="I109" s="35">
        <v>0</v>
      </c>
      <c r="J109" s="35">
        <v>0</v>
      </c>
    </row>
    <row r="118" ht="15.75">
      <c r="H118" s="5">
        <f>14319.24+2339.91+21282.43</f>
        <v>37941.58</v>
      </c>
    </row>
  </sheetData>
  <sheetProtection/>
  <mergeCells count="7">
    <mergeCell ref="A2:J2"/>
    <mergeCell ref="A3:A4"/>
    <mergeCell ref="B3:B4"/>
    <mergeCell ref="C3:C4"/>
    <mergeCell ref="D3:H3"/>
    <mergeCell ref="I3:I4"/>
    <mergeCell ref="J3:J4"/>
  </mergeCells>
  <printOptions horizontalCentered="1"/>
  <pageMargins left="0.1968503937007874" right="0.1968503937007874" top="0.2362204724409449" bottom="0.2362204724409449" header="0.31496062992125984" footer="0.31496062992125984"/>
  <pageSetup fitToHeight="6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3:I115"/>
  <sheetViews>
    <sheetView view="pageBreakPreview" zoomScaleNormal="80" zoomScaleSheetLayoutView="100" zoomScalePageLayoutView="0" workbookViewId="0" topLeftCell="A1">
      <pane xSplit="4" ySplit="5" topLeftCell="E27" activePane="bottomRight" state="frozen"/>
      <selection pane="topLeft" activeCell="F4" sqref="F4"/>
      <selection pane="topRight" activeCell="F4" sqref="F4"/>
      <selection pane="bottomLeft" activeCell="F4" sqref="F4"/>
      <selection pane="bottomRight" activeCell="D8" sqref="D8"/>
    </sheetView>
  </sheetViews>
  <sheetFormatPr defaultColWidth="9.140625" defaultRowHeight="12.75"/>
  <cols>
    <col min="1" max="1" width="33.7109375" style="5" customWidth="1"/>
    <col min="2" max="2" width="10.8515625" style="5" customWidth="1"/>
    <col min="3" max="3" width="43.28125" style="5" customWidth="1"/>
    <col min="4" max="4" width="18.140625" style="57" customWidth="1"/>
    <col min="5" max="5" width="16.140625" style="5" customWidth="1"/>
    <col min="6" max="6" width="15.7109375" style="5" customWidth="1"/>
    <col min="7" max="7" width="16.7109375" style="5" customWidth="1"/>
    <col min="8" max="10" width="7.421875" style="5" customWidth="1"/>
    <col min="11" max="16384" width="9.140625" style="5" customWidth="1"/>
  </cols>
  <sheetData>
    <row r="3" spans="1:4" ht="88.5" customHeight="1">
      <c r="A3" s="170" t="s">
        <v>175</v>
      </c>
      <c r="B3" s="170"/>
      <c r="C3" s="170"/>
      <c r="D3" s="170"/>
    </row>
    <row r="4" spans="1:4" s="8" customFormat="1" ht="31.5">
      <c r="A4" s="6" t="s">
        <v>0</v>
      </c>
      <c r="B4" s="6" t="s">
        <v>17</v>
      </c>
      <c r="C4" s="6" t="s">
        <v>1</v>
      </c>
      <c r="D4" s="54" t="s">
        <v>118</v>
      </c>
    </row>
    <row r="5" spans="1:4" s="8" customFormat="1" ht="15.75">
      <c r="A5" s="6">
        <v>1</v>
      </c>
      <c r="B5" s="6">
        <f>A5+1</f>
        <v>2</v>
      </c>
      <c r="C5" s="6">
        <f>B5+1</f>
        <v>3</v>
      </c>
      <c r="D5" s="54">
        <f>C5+1</f>
        <v>4</v>
      </c>
    </row>
    <row r="6" spans="1:4" s="8" customFormat="1" ht="31.5">
      <c r="A6" s="6"/>
      <c r="B6" s="6"/>
      <c r="C6" s="9" t="s">
        <v>188</v>
      </c>
      <c r="D6" s="95">
        <f>D7+D12+D17+D21</f>
        <v>4265452.2</v>
      </c>
    </row>
    <row r="7" spans="1:4" s="8" customFormat="1" ht="15.75">
      <c r="A7" s="9" t="s">
        <v>5</v>
      </c>
      <c r="B7" s="6"/>
      <c r="C7" s="9" t="s">
        <v>4</v>
      </c>
      <c r="D7" s="96">
        <f>D8+D9+D10+D11</f>
        <v>1002.1</v>
      </c>
    </row>
    <row r="8" spans="1:5" s="13" customFormat="1" ht="33.75" customHeight="1">
      <c r="A8" s="11" t="s">
        <v>121</v>
      </c>
      <c r="B8" s="12">
        <v>226900</v>
      </c>
      <c r="C8" s="12" t="s">
        <v>3</v>
      </c>
      <c r="D8" s="97">
        <v>79.2</v>
      </c>
      <c r="E8" s="8"/>
    </row>
    <row r="9" spans="1:5" s="13" customFormat="1" ht="49.5" customHeight="1">
      <c r="A9" s="11" t="s">
        <v>178</v>
      </c>
      <c r="B9" s="12">
        <v>290900</v>
      </c>
      <c r="C9" s="12" t="s">
        <v>181</v>
      </c>
      <c r="D9" s="97">
        <v>200</v>
      </c>
      <c r="E9" s="8"/>
    </row>
    <row r="10" spans="1:5" s="13" customFormat="1" ht="15.75">
      <c r="A10" s="11" t="s">
        <v>122</v>
      </c>
      <c r="B10" s="12">
        <v>290105</v>
      </c>
      <c r="C10" s="12" t="s">
        <v>51</v>
      </c>
      <c r="D10" s="97">
        <v>321.9</v>
      </c>
      <c r="E10" s="8"/>
    </row>
    <row r="11" spans="1:5" s="13" customFormat="1" ht="15.75">
      <c r="A11" s="11" t="s">
        <v>122</v>
      </c>
      <c r="B11" s="12">
        <v>290106</v>
      </c>
      <c r="C11" s="12" t="s">
        <v>52</v>
      </c>
      <c r="D11" s="97">
        <v>401</v>
      </c>
      <c r="E11" s="8"/>
    </row>
    <row r="12" spans="1:5" s="13" customFormat="1" ht="15.75">
      <c r="A12" s="9" t="s">
        <v>6</v>
      </c>
      <c r="B12" s="9"/>
      <c r="C12" s="9" t="s">
        <v>7</v>
      </c>
      <c r="D12" s="96">
        <f>SUM(D13:D16)</f>
        <v>380.7</v>
      </c>
      <c r="E12" s="8"/>
    </row>
    <row r="13" spans="1:5" s="14" customFormat="1" ht="32.25" customHeight="1">
      <c r="A13" s="11" t="s">
        <v>179</v>
      </c>
      <c r="B13" s="12">
        <v>226900</v>
      </c>
      <c r="C13" s="12" t="s">
        <v>20</v>
      </c>
      <c r="D13" s="97">
        <v>200</v>
      </c>
      <c r="E13" s="8"/>
    </row>
    <row r="14" spans="1:5" s="14" customFormat="1" ht="22.5" customHeight="1">
      <c r="A14" s="11" t="s">
        <v>180</v>
      </c>
      <c r="B14" s="12">
        <v>212101</v>
      </c>
      <c r="C14" s="12" t="s">
        <v>58</v>
      </c>
      <c r="D14" s="97">
        <v>40</v>
      </c>
      <c r="E14" s="8"/>
    </row>
    <row r="15" spans="1:5" s="14" customFormat="1" ht="31.5">
      <c r="A15" s="11" t="s">
        <v>180</v>
      </c>
      <c r="B15" s="12">
        <v>222101</v>
      </c>
      <c r="C15" s="12" t="s">
        <v>56</v>
      </c>
      <c r="D15" s="97">
        <v>15</v>
      </c>
      <c r="E15" s="8"/>
    </row>
    <row r="16" spans="1:5" s="14" customFormat="1" ht="47.25">
      <c r="A16" s="11" t="s">
        <v>180</v>
      </c>
      <c r="B16" s="12">
        <v>212103</v>
      </c>
      <c r="C16" s="12" t="s">
        <v>57</v>
      </c>
      <c r="D16" s="97">
        <v>125.7</v>
      </c>
      <c r="E16" s="8"/>
    </row>
    <row r="17" spans="1:5" s="14" customFormat="1" ht="47.25">
      <c r="A17" s="15"/>
      <c r="B17" s="9"/>
      <c r="C17" s="9" t="s">
        <v>112</v>
      </c>
      <c r="D17" s="96">
        <f>D18+D19+D20</f>
        <v>64331.4</v>
      </c>
      <c r="E17" s="8"/>
    </row>
    <row r="18" spans="1:5" s="14" customFormat="1" ht="31.5">
      <c r="A18" s="11" t="s">
        <v>127</v>
      </c>
      <c r="B18" s="12">
        <v>226900</v>
      </c>
      <c r="C18" s="12" t="s">
        <v>30</v>
      </c>
      <c r="D18" s="97">
        <v>51000</v>
      </c>
      <c r="E18" s="8"/>
    </row>
    <row r="19" spans="1:5" s="14" customFormat="1" ht="15.75">
      <c r="A19" s="11" t="s">
        <v>128</v>
      </c>
      <c r="B19" s="12">
        <v>262200</v>
      </c>
      <c r="C19" s="12" t="s">
        <v>68</v>
      </c>
      <c r="D19" s="97">
        <v>1500</v>
      </c>
      <c r="E19" s="8"/>
    </row>
    <row r="20" spans="1:5" s="14" customFormat="1" ht="31.5">
      <c r="A20" s="11" t="s">
        <v>126</v>
      </c>
      <c r="B20" s="12">
        <v>251000</v>
      </c>
      <c r="C20" s="12" t="s">
        <v>30</v>
      </c>
      <c r="D20" s="97">
        <v>11831.4</v>
      </c>
      <c r="E20" s="8"/>
    </row>
    <row r="21" spans="1:5" s="14" customFormat="1" ht="15.75">
      <c r="A21" s="2" t="s">
        <v>92</v>
      </c>
      <c r="B21" s="33"/>
      <c r="C21" s="1" t="s">
        <v>93</v>
      </c>
      <c r="D21" s="96">
        <f>D22+D25+D58+D105+D48</f>
        <v>4199738</v>
      </c>
      <c r="E21" s="8"/>
    </row>
    <row r="22" spans="1:5" s="18" customFormat="1" ht="47.25">
      <c r="A22" s="16" t="s">
        <v>62</v>
      </c>
      <c r="B22" s="16"/>
      <c r="C22" s="17" t="s">
        <v>21</v>
      </c>
      <c r="D22" s="96">
        <f>SUM(D23:D24)</f>
        <v>231344.8</v>
      </c>
      <c r="E22" s="8"/>
    </row>
    <row r="23" spans="1:5" s="18" customFormat="1" ht="47.25">
      <c r="A23" s="19" t="s">
        <v>129</v>
      </c>
      <c r="B23" s="19" t="s">
        <v>44</v>
      </c>
      <c r="C23" s="20" t="s">
        <v>63</v>
      </c>
      <c r="D23" s="97">
        <v>134259.8</v>
      </c>
      <c r="E23" s="8"/>
    </row>
    <row r="24" spans="1:5" s="18" customFormat="1" ht="63">
      <c r="A24" s="19" t="s">
        <v>130</v>
      </c>
      <c r="B24" s="19" t="s">
        <v>44</v>
      </c>
      <c r="C24" s="20" t="s">
        <v>64</v>
      </c>
      <c r="D24" s="97">
        <v>97085</v>
      </c>
      <c r="E24" s="8"/>
    </row>
    <row r="25" spans="1:5" s="18" customFormat="1" ht="15.75">
      <c r="A25" s="16" t="s">
        <v>71</v>
      </c>
      <c r="B25" s="16"/>
      <c r="C25" s="17" t="s">
        <v>72</v>
      </c>
      <c r="D25" s="96">
        <f>D26+D37</f>
        <v>880096.1</v>
      </c>
      <c r="E25" s="8"/>
    </row>
    <row r="26" spans="1:5" s="18" customFormat="1" ht="31.5">
      <c r="A26" s="16" t="s">
        <v>131</v>
      </c>
      <c r="B26" s="16"/>
      <c r="C26" s="3" t="s">
        <v>73</v>
      </c>
      <c r="D26" s="96">
        <f>D27+D35+D36</f>
        <v>296615.4</v>
      </c>
      <c r="E26" s="8"/>
    </row>
    <row r="27" spans="1:5" s="43" customFormat="1" ht="31.5">
      <c r="A27" s="44"/>
      <c r="B27" s="44"/>
      <c r="C27" s="42" t="s">
        <v>74</v>
      </c>
      <c r="D27" s="97">
        <f>D28+D29+D30+D31+D32+D33+D34</f>
        <v>211243.3</v>
      </c>
      <c r="E27" s="8"/>
    </row>
    <row r="28" spans="1:5" s="43" customFormat="1" ht="15.75">
      <c r="A28" s="38" t="s">
        <v>132</v>
      </c>
      <c r="B28" s="41" t="s">
        <v>75</v>
      </c>
      <c r="C28" s="39" t="s">
        <v>86</v>
      </c>
      <c r="D28" s="98">
        <v>156569.68</v>
      </c>
      <c r="E28" s="8"/>
    </row>
    <row r="29" spans="1:5" s="43" customFormat="1" ht="15.75">
      <c r="A29" s="38"/>
      <c r="B29" s="41" t="s">
        <v>31</v>
      </c>
      <c r="C29" s="39" t="s">
        <v>76</v>
      </c>
      <c r="D29" s="97">
        <v>545.7</v>
      </c>
      <c r="E29" s="8"/>
    </row>
    <row r="30" spans="1:5" s="43" customFormat="1" ht="15.75">
      <c r="A30" s="38"/>
      <c r="B30" s="41" t="s">
        <v>77</v>
      </c>
      <c r="C30" s="39" t="s">
        <v>78</v>
      </c>
      <c r="D30" s="97">
        <v>22360.3</v>
      </c>
      <c r="E30" s="8"/>
    </row>
    <row r="31" spans="1:5" s="43" customFormat="1" ht="15.75">
      <c r="A31" s="38"/>
      <c r="B31" s="41" t="s">
        <v>79</v>
      </c>
      <c r="C31" s="39" t="s">
        <v>80</v>
      </c>
      <c r="D31" s="97">
        <v>18406.1</v>
      </c>
      <c r="E31" s="8"/>
    </row>
    <row r="32" spans="1:5" s="43" customFormat="1" ht="15.75">
      <c r="A32" s="38"/>
      <c r="B32" s="41" t="s">
        <v>81</v>
      </c>
      <c r="C32" s="39" t="s">
        <v>82</v>
      </c>
      <c r="D32" s="97">
        <v>1111.3</v>
      </c>
      <c r="E32" s="8"/>
    </row>
    <row r="33" spans="1:5" s="43" customFormat="1" ht="15.75">
      <c r="A33" s="38"/>
      <c r="B33" s="41" t="s">
        <v>83</v>
      </c>
      <c r="C33" s="39" t="s">
        <v>84</v>
      </c>
      <c r="D33" s="97">
        <v>8762.3</v>
      </c>
      <c r="E33" s="8"/>
    </row>
    <row r="34" spans="1:5" s="43" customFormat="1" ht="15.75">
      <c r="A34" s="38"/>
      <c r="B34" s="41"/>
      <c r="C34" s="39" t="s">
        <v>85</v>
      </c>
      <c r="D34" s="97">
        <v>3487.9</v>
      </c>
      <c r="E34" s="8"/>
    </row>
    <row r="35" spans="1:5" s="43" customFormat="1" ht="15.75">
      <c r="A35" s="27" t="s">
        <v>133</v>
      </c>
      <c r="B35" s="27"/>
      <c r="C35" s="28" t="s">
        <v>87</v>
      </c>
      <c r="D35" s="96">
        <v>2152.3</v>
      </c>
      <c r="E35" s="8"/>
    </row>
    <row r="36" spans="1:5" s="43" customFormat="1" ht="31.5">
      <c r="A36" s="27" t="s">
        <v>134</v>
      </c>
      <c r="B36" s="27"/>
      <c r="C36" s="28" t="s">
        <v>88</v>
      </c>
      <c r="D36" s="96">
        <v>83219.8</v>
      </c>
      <c r="E36" s="8"/>
    </row>
    <row r="37" spans="1:5" s="43" customFormat="1" ht="31.5">
      <c r="A37" s="44" t="s">
        <v>131</v>
      </c>
      <c r="B37" s="44"/>
      <c r="C37" s="28" t="s">
        <v>89</v>
      </c>
      <c r="D37" s="96">
        <f>D38+D46+D47</f>
        <v>583480.7</v>
      </c>
      <c r="E37" s="8"/>
    </row>
    <row r="38" spans="1:5" s="43" customFormat="1" ht="31.5">
      <c r="A38" s="44"/>
      <c r="B38" s="44"/>
      <c r="C38" s="42" t="s">
        <v>74</v>
      </c>
      <c r="D38" s="97">
        <f>D39+D40+D41+D42+D43+D44+D45</f>
        <v>537390.9</v>
      </c>
      <c r="E38" s="8"/>
    </row>
    <row r="39" spans="1:5" s="43" customFormat="1" ht="15.75">
      <c r="A39" s="48" t="s">
        <v>132</v>
      </c>
      <c r="B39" s="41" t="s">
        <v>75</v>
      </c>
      <c r="C39" s="39" t="s">
        <v>90</v>
      </c>
      <c r="D39" s="97">
        <v>437191.4</v>
      </c>
      <c r="E39" s="8"/>
    </row>
    <row r="40" spans="1:5" s="43" customFormat="1" ht="15.75">
      <c r="A40" s="44"/>
      <c r="B40" s="41" t="s">
        <v>31</v>
      </c>
      <c r="C40" s="39" t="s">
        <v>76</v>
      </c>
      <c r="D40" s="97">
        <v>2138.4</v>
      </c>
      <c r="E40" s="8"/>
    </row>
    <row r="41" spans="1:5" s="43" customFormat="1" ht="15.75">
      <c r="A41" s="44"/>
      <c r="B41" s="41" t="s">
        <v>77</v>
      </c>
      <c r="C41" s="39" t="s">
        <v>78</v>
      </c>
      <c r="D41" s="97">
        <v>21790.1</v>
      </c>
      <c r="E41" s="8"/>
    </row>
    <row r="42" spans="1:5" s="43" customFormat="1" ht="15.75">
      <c r="A42" s="44"/>
      <c r="B42" s="41" t="s">
        <v>79</v>
      </c>
      <c r="C42" s="39" t="s">
        <v>80</v>
      </c>
      <c r="D42" s="97">
        <v>39048.6</v>
      </c>
      <c r="E42" s="8"/>
    </row>
    <row r="43" spans="1:5" s="43" customFormat="1" ht="15.75">
      <c r="A43" s="44"/>
      <c r="B43" s="41" t="s">
        <v>81</v>
      </c>
      <c r="C43" s="39" t="s">
        <v>82</v>
      </c>
      <c r="D43" s="97">
        <v>3312.2</v>
      </c>
      <c r="E43" s="8"/>
    </row>
    <row r="44" spans="1:5" s="43" customFormat="1" ht="15.75">
      <c r="A44" s="44"/>
      <c r="B44" s="41" t="s">
        <v>83</v>
      </c>
      <c r="C44" s="39" t="s">
        <v>84</v>
      </c>
      <c r="D44" s="97">
        <v>7860.2</v>
      </c>
      <c r="E44" s="8"/>
    </row>
    <row r="45" spans="1:5" s="43" customFormat="1" ht="15.75">
      <c r="A45" s="44"/>
      <c r="B45" s="41"/>
      <c r="C45" s="39" t="s">
        <v>85</v>
      </c>
      <c r="D45" s="97">
        <v>26050</v>
      </c>
      <c r="E45" s="8"/>
    </row>
    <row r="46" spans="1:5" s="43" customFormat="1" ht="15.75">
      <c r="A46" s="27" t="s">
        <v>133</v>
      </c>
      <c r="B46" s="27"/>
      <c r="C46" s="28" t="s">
        <v>87</v>
      </c>
      <c r="D46" s="96">
        <v>38339.6</v>
      </c>
      <c r="E46" s="8"/>
    </row>
    <row r="47" spans="1:5" s="43" customFormat="1" ht="31.5">
      <c r="A47" s="27" t="s">
        <v>133</v>
      </c>
      <c r="B47" s="27"/>
      <c r="C47" s="28" t="s">
        <v>88</v>
      </c>
      <c r="D47" s="96">
        <v>7750.2</v>
      </c>
      <c r="E47" s="8"/>
    </row>
    <row r="48" spans="1:5" s="43" customFormat="1" ht="47.25">
      <c r="A48" s="27" t="s">
        <v>136</v>
      </c>
      <c r="B48" s="27"/>
      <c r="C48" s="28" t="s">
        <v>106</v>
      </c>
      <c r="D48" s="96">
        <f>D49+D56+D57</f>
        <v>143111.2</v>
      </c>
      <c r="E48" s="8"/>
    </row>
    <row r="49" spans="1:5" s="43" customFormat="1" ht="47.25">
      <c r="A49" s="27" t="s">
        <v>137</v>
      </c>
      <c r="B49" s="27"/>
      <c r="C49" s="28" t="s">
        <v>111</v>
      </c>
      <c r="D49" s="96">
        <f>D50+D51+D52+D53+D54+D55</f>
        <v>124401.2</v>
      </c>
      <c r="E49" s="8"/>
    </row>
    <row r="50" spans="1:6" s="43" customFormat="1" ht="15.75">
      <c r="A50" s="59"/>
      <c r="B50" s="41" t="s">
        <v>75</v>
      </c>
      <c r="C50" s="39" t="s">
        <v>90</v>
      </c>
      <c r="D50" s="97">
        <v>96617.6</v>
      </c>
      <c r="E50" s="8"/>
      <c r="F50" s="53"/>
    </row>
    <row r="51" spans="1:5" s="43" customFormat="1" ht="15.75">
      <c r="A51" s="27"/>
      <c r="B51" s="41" t="s">
        <v>31</v>
      </c>
      <c r="C51" s="39" t="s">
        <v>76</v>
      </c>
      <c r="D51" s="97">
        <v>2960.8</v>
      </c>
      <c r="E51" s="8"/>
    </row>
    <row r="52" spans="1:5" s="43" customFormat="1" ht="15.75">
      <c r="A52" s="27"/>
      <c r="B52" s="41" t="s">
        <v>77</v>
      </c>
      <c r="C52" s="39" t="s">
        <v>78</v>
      </c>
      <c r="D52" s="97">
        <v>4090.1</v>
      </c>
      <c r="E52" s="8"/>
    </row>
    <row r="53" spans="1:5" s="43" customFormat="1" ht="31.5">
      <c r="A53" s="27"/>
      <c r="B53" s="41" t="s">
        <v>107</v>
      </c>
      <c r="C53" s="42" t="s">
        <v>108</v>
      </c>
      <c r="D53" s="97">
        <v>964.9</v>
      </c>
      <c r="E53" s="8"/>
    </row>
    <row r="54" spans="1:5" s="43" customFormat="1" ht="15.75">
      <c r="A54" s="27"/>
      <c r="B54" s="41" t="s">
        <v>83</v>
      </c>
      <c r="C54" s="39" t="s">
        <v>84</v>
      </c>
      <c r="D54" s="97">
        <v>1088.7</v>
      </c>
      <c r="E54" s="8"/>
    </row>
    <row r="55" spans="1:5" s="43" customFormat="1" ht="15.75">
      <c r="A55" s="27"/>
      <c r="B55" s="41"/>
      <c r="C55" s="39" t="s">
        <v>85</v>
      </c>
      <c r="D55" s="97">
        <v>18679.1</v>
      </c>
      <c r="E55" s="8"/>
    </row>
    <row r="56" spans="1:5" s="43" customFormat="1" ht="63">
      <c r="A56" s="52" t="s">
        <v>138</v>
      </c>
      <c r="B56" s="27"/>
      <c r="C56" s="28" t="s">
        <v>109</v>
      </c>
      <c r="D56" s="96">
        <v>17377.7</v>
      </c>
      <c r="E56" s="8"/>
    </row>
    <row r="57" spans="1:5" s="43" customFormat="1" ht="47.25">
      <c r="A57" s="52" t="s">
        <v>187</v>
      </c>
      <c r="B57" s="27" t="s">
        <v>185</v>
      </c>
      <c r="C57" s="28" t="s">
        <v>186</v>
      </c>
      <c r="D57" s="96">
        <v>1332.3</v>
      </c>
      <c r="E57" s="8"/>
    </row>
    <row r="58" spans="1:5" s="43" customFormat="1" ht="15.75">
      <c r="A58" s="44" t="s">
        <v>174</v>
      </c>
      <c r="B58" s="44"/>
      <c r="C58" s="45" t="s">
        <v>9</v>
      </c>
      <c r="D58" s="96">
        <f>D59+D89+D96+D103</f>
        <v>2851877.1</v>
      </c>
      <c r="E58" s="8"/>
    </row>
    <row r="59" spans="1:9" s="43" customFormat="1" ht="15.75">
      <c r="A59" s="44"/>
      <c r="B59" s="44"/>
      <c r="C59" s="45" t="s">
        <v>10</v>
      </c>
      <c r="D59" s="96">
        <f>D60+D61+D62+D63+D64+D65+D66+D68+D71+D72+D73+D74+D75+D76+D79+D80+D81+D82+D85+D86+D87</f>
        <v>2800504</v>
      </c>
      <c r="E59" s="8"/>
      <c r="F59" s="49"/>
      <c r="G59" s="49"/>
      <c r="H59" s="49"/>
      <c r="I59" s="49"/>
    </row>
    <row r="60" spans="1:9" s="29" customFormat="1" ht="47.25">
      <c r="A60" s="27" t="s">
        <v>139</v>
      </c>
      <c r="B60" s="27"/>
      <c r="C60" s="28" t="s">
        <v>110</v>
      </c>
      <c r="D60" s="99">
        <v>214793.8</v>
      </c>
      <c r="E60" s="8"/>
      <c r="F60" s="46"/>
      <c r="G60" s="90">
        <f>D60+D61+D63+D72+D73+D74+D75+D85+D104</f>
        <v>1465380.2</v>
      </c>
      <c r="H60" s="46"/>
      <c r="I60" s="46"/>
    </row>
    <row r="61" spans="1:9" s="29" customFormat="1" ht="98.25" customHeight="1">
      <c r="A61" s="27" t="s">
        <v>140</v>
      </c>
      <c r="B61" s="38"/>
      <c r="C61" s="28" t="s">
        <v>33</v>
      </c>
      <c r="D61" s="99">
        <v>2790.8</v>
      </c>
      <c r="E61" s="8"/>
      <c r="F61" s="50"/>
      <c r="G61" s="46"/>
      <c r="H61" s="46"/>
      <c r="I61" s="46"/>
    </row>
    <row r="62" spans="1:5" s="29" customFormat="1" ht="110.25">
      <c r="A62" s="27" t="s">
        <v>141</v>
      </c>
      <c r="B62" s="27"/>
      <c r="C62" s="28" t="s">
        <v>16</v>
      </c>
      <c r="D62" s="99">
        <v>6358.4</v>
      </c>
      <c r="E62" s="8"/>
    </row>
    <row r="63" spans="1:6" s="29" customFormat="1" ht="78.75">
      <c r="A63" s="27" t="s">
        <v>142</v>
      </c>
      <c r="B63" s="27"/>
      <c r="C63" s="28" t="s">
        <v>22</v>
      </c>
      <c r="D63" s="99">
        <v>12257.6</v>
      </c>
      <c r="E63" s="8"/>
      <c r="F63" s="51"/>
    </row>
    <row r="64" spans="1:5" s="29" customFormat="1" ht="31.5">
      <c r="A64" s="27" t="s">
        <v>143</v>
      </c>
      <c r="B64" s="27"/>
      <c r="C64" s="28" t="s">
        <v>15</v>
      </c>
      <c r="D64" s="99">
        <v>178162.9</v>
      </c>
      <c r="E64" s="8"/>
    </row>
    <row r="65" spans="1:5" s="29" customFormat="1" ht="47.25">
      <c r="A65" s="27" t="s">
        <v>144</v>
      </c>
      <c r="B65" s="60"/>
      <c r="C65" s="52" t="s">
        <v>100</v>
      </c>
      <c r="D65" s="99">
        <v>750</v>
      </c>
      <c r="E65" s="8"/>
    </row>
    <row r="66" spans="1:5" s="29" customFormat="1" ht="31.5">
      <c r="A66" s="27" t="s">
        <v>145</v>
      </c>
      <c r="B66" s="27"/>
      <c r="C66" s="28" t="s">
        <v>101</v>
      </c>
      <c r="D66" s="99">
        <v>38650</v>
      </c>
      <c r="E66" s="8"/>
    </row>
    <row r="67" spans="1:5" s="40" customFormat="1" ht="47.25">
      <c r="A67" s="38" t="s">
        <v>146</v>
      </c>
      <c r="B67" s="38" t="s">
        <v>29</v>
      </c>
      <c r="C67" s="42" t="s">
        <v>23</v>
      </c>
      <c r="D67" s="96">
        <f>D68+D71</f>
        <v>335746.8</v>
      </c>
      <c r="E67" s="8"/>
    </row>
    <row r="68" spans="1:5" s="40" customFormat="1" ht="31.5">
      <c r="A68" s="27" t="s">
        <v>147</v>
      </c>
      <c r="B68" s="38"/>
      <c r="C68" s="28" t="s">
        <v>18</v>
      </c>
      <c r="D68" s="99">
        <f>D69+D70</f>
        <v>315600.4</v>
      </c>
      <c r="E68" s="8"/>
    </row>
    <row r="69" spans="1:5" ht="31.5">
      <c r="A69" s="23"/>
      <c r="B69" s="19" t="s">
        <v>45</v>
      </c>
      <c r="C69" s="22" t="s">
        <v>116</v>
      </c>
      <c r="D69" s="100">
        <f>1900+182304.4</f>
        <v>184204.4</v>
      </c>
      <c r="E69" s="8"/>
    </row>
    <row r="70" spans="1:6" s="26" customFormat="1" ht="31.5">
      <c r="A70" s="21"/>
      <c r="B70" s="19" t="s">
        <v>50</v>
      </c>
      <c r="C70" s="22" t="s">
        <v>34</v>
      </c>
      <c r="D70" s="100">
        <f>1900+129496</f>
        <v>131396</v>
      </c>
      <c r="E70" s="8"/>
      <c r="F70" s="25"/>
    </row>
    <row r="71" spans="1:5" ht="47.25">
      <c r="A71" s="23" t="s">
        <v>148</v>
      </c>
      <c r="B71" s="19"/>
      <c r="C71" s="3" t="s">
        <v>24</v>
      </c>
      <c r="D71" s="99">
        <v>20146.4</v>
      </c>
      <c r="E71" s="8"/>
    </row>
    <row r="72" spans="1:5" s="24" customFormat="1" ht="47.25">
      <c r="A72" s="23" t="s">
        <v>149</v>
      </c>
      <c r="B72" s="23" t="s">
        <v>2</v>
      </c>
      <c r="C72" s="3" t="s">
        <v>67</v>
      </c>
      <c r="D72" s="99">
        <v>825224.3</v>
      </c>
      <c r="E72" s="8"/>
    </row>
    <row r="73" spans="1:5" s="24" customFormat="1" ht="96.75" customHeight="1">
      <c r="A73" s="23" t="s">
        <v>150</v>
      </c>
      <c r="B73" s="23"/>
      <c r="C73" s="3" t="s">
        <v>25</v>
      </c>
      <c r="D73" s="99">
        <v>30.4</v>
      </c>
      <c r="E73" s="8"/>
    </row>
    <row r="74" spans="1:5" s="24" customFormat="1" ht="96" customHeight="1">
      <c r="A74" s="23" t="s">
        <v>151</v>
      </c>
      <c r="B74" s="23" t="s">
        <v>42</v>
      </c>
      <c r="C74" s="3" t="s">
        <v>26</v>
      </c>
      <c r="D74" s="99">
        <v>15.2</v>
      </c>
      <c r="E74" s="8"/>
    </row>
    <row r="75" spans="1:5" s="29" customFormat="1" ht="176.25" customHeight="1">
      <c r="A75" s="27" t="s">
        <v>152</v>
      </c>
      <c r="B75" s="27" t="s">
        <v>45</v>
      </c>
      <c r="C75" s="28" t="s">
        <v>39</v>
      </c>
      <c r="D75" s="99">
        <v>391068.6</v>
      </c>
      <c r="E75" s="8"/>
    </row>
    <row r="76" spans="1:5" ht="78.75">
      <c r="A76" s="16" t="s">
        <v>153</v>
      </c>
      <c r="B76" s="19"/>
      <c r="C76" s="17" t="s">
        <v>35</v>
      </c>
      <c r="D76" s="96">
        <f>D77+D78</f>
        <v>386690.6</v>
      </c>
      <c r="E76" s="8"/>
    </row>
    <row r="77" spans="1:5" s="18" customFormat="1" ht="31.5">
      <c r="A77" s="19"/>
      <c r="B77" s="19" t="s">
        <v>45</v>
      </c>
      <c r="C77" s="20" t="s">
        <v>115</v>
      </c>
      <c r="D77" s="97">
        <f>3000+257801</f>
        <v>260801</v>
      </c>
      <c r="E77" s="8"/>
    </row>
    <row r="78" spans="1:6" s="18" customFormat="1" ht="35.25" customHeight="1">
      <c r="A78" s="19"/>
      <c r="B78" s="19" t="s">
        <v>50</v>
      </c>
      <c r="C78" s="20" t="s">
        <v>36</v>
      </c>
      <c r="D78" s="97">
        <f>3000+122889.6</f>
        <v>125889.6</v>
      </c>
      <c r="E78" s="8"/>
      <c r="F78" s="30"/>
    </row>
    <row r="79" spans="1:5" s="24" customFormat="1" ht="63">
      <c r="A79" s="23" t="s">
        <v>154</v>
      </c>
      <c r="B79" s="23" t="s">
        <v>42</v>
      </c>
      <c r="C79" s="3" t="s">
        <v>27</v>
      </c>
      <c r="D79" s="99">
        <v>149662.7</v>
      </c>
      <c r="E79" s="8"/>
    </row>
    <row r="80" spans="1:5" s="24" customFormat="1" ht="48.75" customHeight="1">
      <c r="A80" s="23" t="s">
        <v>155</v>
      </c>
      <c r="B80" s="23" t="s">
        <v>45</v>
      </c>
      <c r="C80" s="3" t="s">
        <v>37</v>
      </c>
      <c r="D80" s="99">
        <v>120487.5</v>
      </c>
      <c r="E80" s="8"/>
    </row>
    <row r="81" spans="1:5" s="18" customFormat="1" ht="37.5" customHeight="1">
      <c r="A81" s="16" t="s">
        <v>156</v>
      </c>
      <c r="B81" s="16" t="s">
        <v>45</v>
      </c>
      <c r="C81" s="17" t="s">
        <v>66</v>
      </c>
      <c r="D81" s="101">
        <v>2295.4</v>
      </c>
      <c r="E81" s="8"/>
    </row>
    <row r="82" spans="1:5" s="18" customFormat="1" ht="31.5">
      <c r="A82" s="23" t="s">
        <v>157</v>
      </c>
      <c r="B82" s="16"/>
      <c r="C82" s="3" t="s">
        <v>49</v>
      </c>
      <c r="D82" s="96">
        <f>D83+D84</f>
        <v>114860.3</v>
      </c>
      <c r="E82" s="8"/>
    </row>
    <row r="83" spans="1:5" s="24" customFormat="1" ht="47.25">
      <c r="A83" s="19"/>
      <c r="B83" s="19" t="s">
        <v>50</v>
      </c>
      <c r="C83" s="20" t="s">
        <v>38</v>
      </c>
      <c r="D83" s="100">
        <f>925+14272.5</f>
        <v>15197.5</v>
      </c>
      <c r="E83" s="8"/>
    </row>
    <row r="84" spans="1:5" ht="47.25">
      <c r="A84" s="23"/>
      <c r="B84" s="19" t="s">
        <v>45</v>
      </c>
      <c r="C84" s="20" t="s">
        <v>48</v>
      </c>
      <c r="D84" s="97">
        <f>925+118737.8-20000</f>
        <v>99662.8</v>
      </c>
      <c r="E84" s="8"/>
    </row>
    <row r="85" spans="1:5" s="18" customFormat="1" ht="55.5" customHeight="1">
      <c r="A85" s="23" t="s">
        <v>158</v>
      </c>
      <c r="B85" s="16"/>
      <c r="C85" s="3" t="s">
        <v>102</v>
      </c>
      <c r="D85" s="96">
        <v>19134.5</v>
      </c>
      <c r="E85" s="8"/>
    </row>
    <row r="86" spans="1:5" ht="47.25">
      <c r="A86" s="19" t="s">
        <v>159</v>
      </c>
      <c r="B86" s="19" t="s">
        <v>41</v>
      </c>
      <c r="C86" s="61" t="s">
        <v>91</v>
      </c>
      <c r="D86" s="96">
        <v>370</v>
      </c>
      <c r="E86" s="8"/>
    </row>
    <row r="87" spans="1:5" ht="63">
      <c r="A87" s="19" t="s">
        <v>160</v>
      </c>
      <c r="B87" s="19"/>
      <c r="C87" s="17" t="s">
        <v>117</v>
      </c>
      <c r="D87" s="96">
        <v>1154.2</v>
      </c>
      <c r="E87" s="8"/>
    </row>
    <row r="88" spans="1:5" ht="15.75">
      <c r="A88" s="19" t="s">
        <v>160</v>
      </c>
      <c r="B88" s="19" t="s">
        <v>41</v>
      </c>
      <c r="C88" s="20" t="s">
        <v>43</v>
      </c>
      <c r="D88" s="97">
        <v>1154.5</v>
      </c>
      <c r="E88" s="8"/>
    </row>
    <row r="89" spans="1:5" ht="47.25">
      <c r="A89" s="19"/>
      <c r="B89" s="19"/>
      <c r="C89" s="17" t="s">
        <v>103</v>
      </c>
      <c r="D89" s="96">
        <f>D90+D91+D92</f>
        <v>19292.1</v>
      </c>
      <c r="E89" s="8"/>
    </row>
    <row r="90" spans="1:5" ht="31.5">
      <c r="A90" s="19" t="s">
        <v>161</v>
      </c>
      <c r="B90" s="19" t="s">
        <v>42</v>
      </c>
      <c r="C90" s="20" t="s">
        <v>40</v>
      </c>
      <c r="D90" s="97">
        <v>8000</v>
      </c>
      <c r="E90" s="8"/>
    </row>
    <row r="91" spans="1:5" ht="15.75">
      <c r="A91" s="19" t="s">
        <v>162</v>
      </c>
      <c r="B91" s="19" t="s">
        <v>41</v>
      </c>
      <c r="C91" s="20" t="s">
        <v>43</v>
      </c>
      <c r="D91" s="97">
        <v>50.1</v>
      </c>
      <c r="E91" s="8"/>
    </row>
    <row r="92" spans="1:5" ht="47.25">
      <c r="A92" s="23" t="s">
        <v>163</v>
      </c>
      <c r="B92" s="16"/>
      <c r="C92" s="17" t="s">
        <v>59</v>
      </c>
      <c r="D92" s="99">
        <f>D93+D94+D95</f>
        <v>11242</v>
      </c>
      <c r="E92" s="8"/>
    </row>
    <row r="93" spans="1:5" ht="78.75">
      <c r="A93" s="19" t="s">
        <v>164</v>
      </c>
      <c r="B93" s="19" t="s">
        <v>42</v>
      </c>
      <c r="C93" s="20" t="s">
        <v>104</v>
      </c>
      <c r="D93" s="97">
        <v>8000</v>
      </c>
      <c r="E93" s="8"/>
    </row>
    <row r="94" spans="1:5" ht="15.75">
      <c r="A94" s="19" t="s">
        <v>165</v>
      </c>
      <c r="B94" s="19" t="s">
        <v>31</v>
      </c>
      <c r="C94" s="20" t="s">
        <v>76</v>
      </c>
      <c r="D94" s="97">
        <v>142</v>
      </c>
      <c r="E94" s="8"/>
    </row>
    <row r="95" spans="1:5" ht="63">
      <c r="A95" s="19" t="s">
        <v>166</v>
      </c>
      <c r="B95" s="19" t="s">
        <v>42</v>
      </c>
      <c r="C95" s="37" t="s">
        <v>99</v>
      </c>
      <c r="D95" s="97">
        <v>3100</v>
      </c>
      <c r="E95" s="8"/>
    </row>
    <row r="96" spans="1:5" ht="63">
      <c r="A96" s="16"/>
      <c r="B96" s="16"/>
      <c r="C96" s="17" t="s">
        <v>105</v>
      </c>
      <c r="D96" s="96">
        <f>D97+D98+D99+D100</f>
        <v>32016</v>
      </c>
      <c r="E96" s="8"/>
    </row>
    <row r="97" spans="1:5" ht="78.75">
      <c r="A97" s="19" t="s">
        <v>167</v>
      </c>
      <c r="B97" s="19" t="s">
        <v>42</v>
      </c>
      <c r="C97" s="20" t="s">
        <v>32</v>
      </c>
      <c r="D97" s="97">
        <v>20521</v>
      </c>
      <c r="E97" s="8"/>
    </row>
    <row r="98" spans="1:5" ht="94.5">
      <c r="A98" s="19" t="s">
        <v>167</v>
      </c>
      <c r="B98" s="19" t="s">
        <v>42</v>
      </c>
      <c r="C98" s="20" t="s">
        <v>60</v>
      </c>
      <c r="D98" s="97">
        <v>0</v>
      </c>
      <c r="E98" s="8"/>
    </row>
    <row r="99" spans="1:5" ht="15.75">
      <c r="A99" s="19" t="s">
        <v>168</v>
      </c>
      <c r="B99" s="19" t="s">
        <v>47</v>
      </c>
      <c r="C99" s="20" t="s">
        <v>69</v>
      </c>
      <c r="D99" s="97">
        <v>0</v>
      </c>
      <c r="E99" s="8"/>
    </row>
    <row r="100" spans="1:5" ht="47.25">
      <c r="A100" s="19"/>
      <c r="B100" s="19"/>
      <c r="C100" s="3" t="s">
        <v>113</v>
      </c>
      <c r="D100" s="99">
        <f>D101+D102</f>
        <v>11495</v>
      </c>
      <c r="E100" s="8"/>
    </row>
    <row r="101" spans="1:5" ht="83.25" customHeight="1">
      <c r="A101" s="19" t="s">
        <v>169</v>
      </c>
      <c r="B101" s="19" t="s">
        <v>42</v>
      </c>
      <c r="C101" s="20" t="s">
        <v>65</v>
      </c>
      <c r="D101" s="97">
        <v>11195</v>
      </c>
      <c r="E101" s="8"/>
    </row>
    <row r="102" spans="1:5" s="24" customFormat="1" ht="15.75">
      <c r="A102" s="19" t="s">
        <v>170</v>
      </c>
      <c r="B102" s="19" t="s">
        <v>41</v>
      </c>
      <c r="C102" s="20" t="s">
        <v>43</v>
      </c>
      <c r="D102" s="97">
        <v>300</v>
      </c>
      <c r="E102" s="8"/>
    </row>
    <row r="103" spans="1:5" s="18" customFormat="1" ht="15.75">
      <c r="A103" s="16" t="s">
        <v>53</v>
      </c>
      <c r="B103" s="47"/>
      <c r="C103" s="15" t="s">
        <v>11</v>
      </c>
      <c r="D103" s="96">
        <f>SUM(D104)</f>
        <v>65</v>
      </c>
      <c r="E103" s="8"/>
    </row>
    <row r="104" spans="1:5" ht="94.5">
      <c r="A104" s="19" t="s">
        <v>171</v>
      </c>
      <c r="B104" s="19" t="s">
        <v>54</v>
      </c>
      <c r="C104" s="12" t="s">
        <v>28</v>
      </c>
      <c r="D104" s="97">
        <v>65</v>
      </c>
      <c r="E104" s="8"/>
    </row>
    <row r="105" spans="1:5" ht="31.5">
      <c r="A105" s="23" t="s">
        <v>12</v>
      </c>
      <c r="B105" s="23"/>
      <c r="C105" s="31" t="s">
        <v>13</v>
      </c>
      <c r="D105" s="96">
        <f>D106+D107</f>
        <v>93308.8</v>
      </c>
      <c r="E105" s="8"/>
    </row>
    <row r="106" spans="1:5" ht="110.25">
      <c r="A106" s="16" t="s">
        <v>172</v>
      </c>
      <c r="B106" s="16"/>
      <c r="C106" s="17" t="s">
        <v>14</v>
      </c>
      <c r="D106" s="96">
        <v>89389.2</v>
      </c>
      <c r="E106" s="8"/>
    </row>
    <row r="107" spans="1:5" ht="31.5">
      <c r="A107" s="15"/>
      <c r="B107" s="11"/>
      <c r="C107" s="17" t="s">
        <v>70</v>
      </c>
      <c r="D107" s="95">
        <f>D108+D109</f>
        <v>3919.6</v>
      </c>
      <c r="E107" s="8"/>
    </row>
    <row r="108" spans="1:5" ht="31.5">
      <c r="A108" s="11" t="s">
        <v>173</v>
      </c>
      <c r="B108" s="11" t="s">
        <v>46</v>
      </c>
      <c r="C108" s="4" t="s">
        <v>61</v>
      </c>
      <c r="D108" s="102">
        <v>2010.5</v>
      </c>
      <c r="E108" s="8"/>
    </row>
    <row r="109" spans="1:5" ht="31.5">
      <c r="A109" s="11" t="s">
        <v>173</v>
      </c>
      <c r="B109" s="12">
        <v>310100</v>
      </c>
      <c r="C109" s="12" t="s">
        <v>55</v>
      </c>
      <c r="D109" s="103">
        <v>1909.1</v>
      </c>
      <c r="E109" s="8"/>
    </row>
    <row r="110" spans="1:4" ht="15.75">
      <c r="A110" s="78"/>
      <c r="B110" s="79"/>
      <c r="C110" s="79"/>
      <c r="D110" s="104"/>
    </row>
    <row r="111" spans="1:4" ht="15.75">
      <c r="A111" s="78"/>
      <c r="B111" s="79"/>
      <c r="C111" s="79"/>
      <c r="D111" s="80"/>
    </row>
    <row r="112" spans="1:4" ht="15.75">
      <c r="A112" s="78"/>
      <c r="B112" s="79"/>
      <c r="C112" s="79"/>
      <c r="D112" s="80"/>
    </row>
    <row r="113" spans="1:4" ht="15.75">
      <c r="A113" s="78"/>
      <c r="B113" s="79"/>
      <c r="C113" s="79"/>
      <c r="D113" s="80"/>
    </row>
    <row r="114" spans="1:4" ht="15.75">
      <c r="A114" s="78"/>
      <c r="B114" s="79"/>
      <c r="C114" s="79"/>
      <c r="D114" s="80"/>
    </row>
    <row r="115" ht="15.75">
      <c r="D115" s="56"/>
    </row>
  </sheetData>
  <sheetProtection/>
  <mergeCells count="1">
    <mergeCell ref="A3:D3"/>
  </mergeCells>
  <printOptions horizontalCentered="1"/>
  <pageMargins left="0.1968503937007874" right="0.1968503937007874" top="0.1968503937007874" bottom="0.1968503937007874" header="0.11811023622047245" footer="0.11811023622047245"/>
  <pageSetup fitToHeight="6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3:I121"/>
  <sheetViews>
    <sheetView view="pageBreakPreview" zoomScaleNormal="80" zoomScaleSheetLayoutView="100" zoomScalePageLayoutView="0" workbookViewId="0" topLeftCell="A1">
      <pane xSplit="4" ySplit="5" topLeftCell="E54" activePane="bottomRight" state="frozen"/>
      <selection pane="topLeft" activeCell="F4" sqref="F4"/>
      <selection pane="topRight" activeCell="F4" sqref="F4"/>
      <selection pane="bottomLeft" activeCell="F4" sqref="F4"/>
      <selection pane="bottomRight" activeCell="G66" sqref="G66"/>
    </sheetView>
  </sheetViews>
  <sheetFormatPr defaultColWidth="9.140625" defaultRowHeight="12.75"/>
  <cols>
    <col min="1" max="1" width="33.7109375" style="5" customWidth="1"/>
    <col min="2" max="2" width="10.8515625" style="5" customWidth="1"/>
    <col min="3" max="3" width="43.28125" style="5" customWidth="1"/>
    <col min="4" max="4" width="18.140625" style="57" customWidth="1"/>
    <col min="5" max="5" width="16.140625" style="5" customWidth="1"/>
    <col min="6" max="6" width="15.7109375" style="5" customWidth="1"/>
    <col min="7" max="7" width="16.7109375" style="5" customWidth="1"/>
    <col min="8" max="10" width="7.421875" style="5" customWidth="1"/>
    <col min="11" max="16384" width="9.140625" style="5" customWidth="1"/>
  </cols>
  <sheetData>
    <row r="3" spans="1:4" ht="88.5" customHeight="1">
      <c r="A3" s="170" t="s">
        <v>176</v>
      </c>
      <c r="B3" s="170"/>
      <c r="C3" s="170"/>
      <c r="D3" s="170"/>
    </row>
    <row r="4" spans="1:4" s="8" customFormat="1" ht="31.5">
      <c r="A4" s="6" t="s">
        <v>0</v>
      </c>
      <c r="B4" s="6" t="s">
        <v>17</v>
      </c>
      <c r="C4" s="6" t="s">
        <v>1</v>
      </c>
      <c r="D4" s="54" t="s">
        <v>118</v>
      </c>
    </row>
    <row r="5" spans="1:4" s="8" customFormat="1" ht="15.75">
      <c r="A5" s="6">
        <v>1</v>
      </c>
      <c r="B5" s="6">
        <f>A5+1</f>
        <v>2</v>
      </c>
      <c r="C5" s="6">
        <f>B5+1</f>
        <v>3</v>
      </c>
      <c r="D5" s="54">
        <f>C5+1</f>
        <v>4</v>
      </c>
    </row>
    <row r="6" spans="1:4" s="8" customFormat="1" ht="31.5">
      <c r="A6" s="6"/>
      <c r="B6" s="6"/>
      <c r="C6" s="9" t="s">
        <v>19</v>
      </c>
      <c r="D6" s="81">
        <f>D7+D11+D16+D20</f>
        <v>4313518.8</v>
      </c>
    </row>
    <row r="7" spans="1:4" s="8" customFormat="1" ht="15.75">
      <c r="A7" s="9" t="s">
        <v>5</v>
      </c>
      <c r="B7" s="6"/>
      <c r="C7" s="9" t="s">
        <v>4</v>
      </c>
      <c r="D7" s="82">
        <f>D8+D9+D10</f>
        <v>802.1</v>
      </c>
    </row>
    <row r="8" spans="1:4" s="13" customFormat="1" ht="33.75" customHeight="1">
      <c r="A8" s="11" t="s">
        <v>121</v>
      </c>
      <c r="B8" s="12">
        <v>226900</v>
      </c>
      <c r="C8" s="12" t="s">
        <v>3</v>
      </c>
      <c r="D8" s="83">
        <v>79.2</v>
      </c>
    </row>
    <row r="9" spans="1:4" s="13" customFormat="1" ht="15.75">
      <c r="A9" s="11" t="s">
        <v>122</v>
      </c>
      <c r="B9" s="12">
        <v>290105</v>
      </c>
      <c r="C9" s="12" t="s">
        <v>51</v>
      </c>
      <c r="D9" s="83">
        <v>321.9</v>
      </c>
    </row>
    <row r="10" spans="1:4" s="13" customFormat="1" ht="15.75">
      <c r="A10" s="11" t="s">
        <v>122</v>
      </c>
      <c r="B10" s="12">
        <v>290106</v>
      </c>
      <c r="C10" s="12" t="s">
        <v>52</v>
      </c>
      <c r="D10" s="83">
        <v>401</v>
      </c>
    </row>
    <row r="11" spans="1:4" s="13" customFormat="1" ht="15.75">
      <c r="A11" s="9" t="s">
        <v>6</v>
      </c>
      <c r="B11" s="9"/>
      <c r="C11" s="9" t="s">
        <v>7</v>
      </c>
      <c r="D11" s="82">
        <f>SUM(D12:D15)</f>
        <v>380.7</v>
      </c>
    </row>
    <row r="12" spans="1:4" s="14" customFormat="1" ht="32.25" customHeight="1">
      <c r="A12" s="11" t="s">
        <v>123</v>
      </c>
      <c r="B12" s="12">
        <v>226900</v>
      </c>
      <c r="C12" s="12" t="s">
        <v>20</v>
      </c>
      <c r="D12" s="83">
        <v>200</v>
      </c>
    </row>
    <row r="13" spans="1:4" s="14" customFormat="1" ht="22.5" customHeight="1">
      <c r="A13" s="11" t="s">
        <v>124</v>
      </c>
      <c r="B13" s="12">
        <v>212101</v>
      </c>
      <c r="C13" s="12" t="s">
        <v>58</v>
      </c>
      <c r="D13" s="83">
        <v>40</v>
      </c>
    </row>
    <row r="14" spans="1:4" s="14" customFormat="1" ht="31.5">
      <c r="A14" s="11" t="s">
        <v>125</v>
      </c>
      <c r="B14" s="12">
        <v>222101</v>
      </c>
      <c r="C14" s="12" t="s">
        <v>56</v>
      </c>
      <c r="D14" s="83">
        <v>15</v>
      </c>
    </row>
    <row r="15" spans="1:7" s="14" customFormat="1" ht="47.25">
      <c r="A15" s="11" t="s">
        <v>124</v>
      </c>
      <c r="B15" s="12">
        <v>212103</v>
      </c>
      <c r="C15" s="12" t="s">
        <v>57</v>
      </c>
      <c r="D15" s="83">
        <v>125.7</v>
      </c>
      <c r="G15" s="169">
        <f>D9+D10+D93+D106+D111</f>
        <v>115495.8</v>
      </c>
    </row>
    <row r="16" spans="1:4" s="14" customFormat="1" ht="47.25">
      <c r="A16" s="15"/>
      <c r="B16" s="9"/>
      <c r="C16" s="9" t="s">
        <v>112</v>
      </c>
      <c r="D16" s="82">
        <f>D17+D18+D19</f>
        <v>64331.4</v>
      </c>
    </row>
    <row r="17" spans="1:4" s="14" customFormat="1" ht="31.5">
      <c r="A17" s="11" t="s">
        <v>127</v>
      </c>
      <c r="B17" s="12">
        <v>226900</v>
      </c>
      <c r="C17" s="12" t="s">
        <v>30</v>
      </c>
      <c r="D17" s="83">
        <v>51000</v>
      </c>
    </row>
    <row r="18" spans="1:4" s="14" customFormat="1" ht="15.75">
      <c r="A18" s="11" t="s">
        <v>128</v>
      </c>
      <c r="B18" s="12">
        <v>262200</v>
      </c>
      <c r="C18" s="12" t="s">
        <v>68</v>
      </c>
      <c r="D18" s="83">
        <v>1500</v>
      </c>
    </row>
    <row r="19" spans="1:4" s="14" customFormat="1" ht="31.5">
      <c r="A19" s="11" t="s">
        <v>126</v>
      </c>
      <c r="B19" s="12">
        <v>251000</v>
      </c>
      <c r="C19" s="12" t="s">
        <v>30</v>
      </c>
      <c r="D19" s="83">
        <v>11831.4</v>
      </c>
    </row>
    <row r="20" spans="1:4" s="14" customFormat="1" ht="15.75">
      <c r="A20" s="2" t="s">
        <v>92</v>
      </c>
      <c r="B20" s="33"/>
      <c r="C20" s="1" t="s">
        <v>93</v>
      </c>
      <c r="D20" s="82">
        <f>D21+D24+D64+D111+D55</f>
        <v>4248004.6</v>
      </c>
    </row>
    <row r="21" spans="1:4" s="18" customFormat="1" ht="47.25">
      <c r="A21" s="16" t="s">
        <v>62</v>
      </c>
      <c r="B21" s="16"/>
      <c r="C21" s="17" t="s">
        <v>21</v>
      </c>
      <c r="D21" s="82">
        <f>SUM(D22:D23)</f>
        <v>245844.8</v>
      </c>
    </row>
    <row r="22" spans="1:4" s="18" customFormat="1" ht="47.25">
      <c r="A22" s="19" t="s">
        <v>129</v>
      </c>
      <c r="B22" s="19" t="s">
        <v>44</v>
      </c>
      <c r="C22" s="20" t="s">
        <v>63</v>
      </c>
      <c r="D22" s="83">
        <v>148759.8</v>
      </c>
    </row>
    <row r="23" spans="1:4" s="18" customFormat="1" ht="63">
      <c r="A23" s="19" t="s">
        <v>130</v>
      </c>
      <c r="B23" s="19" t="s">
        <v>44</v>
      </c>
      <c r="C23" s="20" t="s">
        <v>64</v>
      </c>
      <c r="D23" s="83">
        <v>97085</v>
      </c>
    </row>
    <row r="24" spans="1:4" s="18" customFormat="1" ht="15.75">
      <c r="A24" s="16" t="s">
        <v>71</v>
      </c>
      <c r="B24" s="16"/>
      <c r="C24" s="17" t="s">
        <v>72</v>
      </c>
      <c r="D24" s="82">
        <f>D25+D36+D47</f>
        <v>839375</v>
      </c>
    </row>
    <row r="25" spans="1:4" s="18" customFormat="1" ht="31.5">
      <c r="A25" s="16" t="s">
        <v>131</v>
      </c>
      <c r="B25" s="16"/>
      <c r="C25" s="3" t="s">
        <v>73</v>
      </c>
      <c r="D25" s="82">
        <f>D26+D34+D35</f>
        <v>286674.7</v>
      </c>
    </row>
    <row r="26" spans="1:4" s="43" customFormat="1" ht="31.5">
      <c r="A26" s="44"/>
      <c r="B26" s="44"/>
      <c r="C26" s="42" t="s">
        <v>74</v>
      </c>
      <c r="D26" s="83">
        <f>D27+D28+D29+D30+D31+D32+D33</f>
        <v>201302.6</v>
      </c>
    </row>
    <row r="27" spans="1:5" s="43" customFormat="1" ht="15.75">
      <c r="A27" s="38" t="s">
        <v>132</v>
      </c>
      <c r="B27" s="41" t="s">
        <v>75</v>
      </c>
      <c r="C27" s="39" t="s">
        <v>86</v>
      </c>
      <c r="D27" s="83">
        <v>146629</v>
      </c>
      <c r="E27" s="89">
        <f aca="true" t="shared" si="0" ref="E27:E33">D27+D38+D48</f>
        <v>553040.1</v>
      </c>
    </row>
    <row r="28" spans="1:5" s="43" customFormat="1" ht="15.75">
      <c r="A28" s="38"/>
      <c r="B28" s="41" t="s">
        <v>31</v>
      </c>
      <c r="C28" s="39" t="s">
        <v>76</v>
      </c>
      <c r="D28" s="83">
        <v>545.7</v>
      </c>
      <c r="E28" s="89">
        <f t="shared" si="0"/>
        <v>2664.8</v>
      </c>
    </row>
    <row r="29" spans="1:5" s="43" customFormat="1" ht="15.75">
      <c r="A29" s="38"/>
      <c r="B29" s="41" t="s">
        <v>77</v>
      </c>
      <c r="C29" s="39" t="s">
        <v>78</v>
      </c>
      <c r="D29" s="83">
        <v>22360.3</v>
      </c>
      <c r="E29" s="89">
        <f t="shared" si="0"/>
        <v>43493.4</v>
      </c>
    </row>
    <row r="30" spans="1:5" s="43" customFormat="1" ht="15.75">
      <c r="A30" s="38"/>
      <c r="B30" s="41" t="s">
        <v>79</v>
      </c>
      <c r="C30" s="39" t="s">
        <v>80</v>
      </c>
      <c r="D30" s="83">
        <v>18406.1</v>
      </c>
      <c r="E30" s="89">
        <f t="shared" si="0"/>
        <v>57592.4</v>
      </c>
    </row>
    <row r="31" spans="1:5" s="43" customFormat="1" ht="15.75">
      <c r="A31" s="38"/>
      <c r="B31" s="41" t="s">
        <v>81</v>
      </c>
      <c r="C31" s="39" t="s">
        <v>82</v>
      </c>
      <c r="D31" s="83">
        <v>1089.3</v>
      </c>
      <c r="E31" s="89">
        <f t="shared" si="0"/>
        <v>4417.8</v>
      </c>
    </row>
    <row r="32" spans="1:5" s="43" customFormat="1" ht="15.75">
      <c r="A32" s="38"/>
      <c r="B32" s="41" t="s">
        <v>83</v>
      </c>
      <c r="C32" s="39" t="s">
        <v>84</v>
      </c>
      <c r="D32" s="83">
        <v>8687.3</v>
      </c>
      <c r="E32" s="89">
        <f t="shared" si="0"/>
        <v>16317.5</v>
      </c>
    </row>
    <row r="33" spans="1:5" s="43" customFormat="1" ht="15.75">
      <c r="A33" s="38"/>
      <c r="B33" s="41"/>
      <c r="C33" s="39" t="s">
        <v>85</v>
      </c>
      <c r="D33" s="83">
        <v>3584.9</v>
      </c>
      <c r="E33" s="89">
        <f t="shared" si="0"/>
        <v>30387</v>
      </c>
    </row>
    <row r="34" spans="1:5" s="43" customFormat="1" ht="15.75">
      <c r="A34" s="27" t="s">
        <v>133</v>
      </c>
      <c r="B34" s="27"/>
      <c r="C34" s="28" t="s">
        <v>87</v>
      </c>
      <c r="D34" s="82">
        <v>2152.3</v>
      </c>
      <c r="E34" s="89">
        <f>D34+D45</f>
        <v>40746.7</v>
      </c>
    </row>
    <row r="35" spans="1:5" s="43" customFormat="1" ht="31.5">
      <c r="A35" s="27" t="s">
        <v>134</v>
      </c>
      <c r="B35" s="27"/>
      <c r="C35" s="28" t="s">
        <v>88</v>
      </c>
      <c r="D35" s="82">
        <v>83219.8</v>
      </c>
      <c r="E35" s="89">
        <f>D35+D46</f>
        <v>90715.3</v>
      </c>
    </row>
    <row r="36" spans="1:4" s="43" customFormat="1" ht="31.5">
      <c r="A36" s="44" t="s">
        <v>131</v>
      </c>
      <c r="B36" s="44"/>
      <c r="C36" s="28" t="s">
        <v>89</v>
      </c>
      <c r="D36" s="82">
        <f>D37+D45+D46</f>
        <v>498238.9</v>
      </c>
    </row>
    <row r="37" spans="1:4" s="43" customFormat="1" ht="31.5">
      <c r="A37" s="44"/>
      <c r="B37" s="44"/>
      <c r="C37" s="42" t="s">
        <v>74</v>
      </c>
      <c r="D37" s="83">
        <f>D38+D39+D40+D41+D42+D43+D44</f>
        <v>452149</v>
      </c>
    </row>
    <row r="38" spans="1:4" s="43" customFormat="1" ht="15.75">
      <c r="A38" s="48" t="s">
        <v>132</v>
      </c>
      <c r="B38" s="41" t="s">
        <v>75</v>
      </c>
      <c r="C38" s="39" t="s">
        <v>90</v>
      </c>
      <c r="D38" s="83">
        <v>361588.7</v>
      </c>
    </row>
    <row r="39" spans="1:4" s="43" customFormat="1" ht="15.75">
      <c r="A39" s="44"/>
      <c r="B39" s="41" t="s">
        <v>31</v>
      </c>
      <c r="C39" s="39" t="s">
        <v>76</v>
      </c>
      <c r="D39" s="83">
        <v>1861.1</v>
      </c>
    </row>
    <row r="40" spans="1:4" s="43" customFormat="1" ht="15.75">
      <c r="A40" s="44"/>
      <c r="B40" s="41" t="s">
        <v>77</v>
      </c>
      <c r="C40" s="39" t="s">
        <v>78</v>
      </c>
      <c r="D40" s="83">
        <v>19486.7</v>
      </c>
    </row>
    <row r="41" spans="1:4" s="43" customFormat="1" ht="15.75">
      <c r="A41" s="44"/>
      <c r="B41" s="41" t="s">
        <v>79</v>
      </c>
      <c r="C41" s="39" t="s">
        <v>80</v>
      </c>
      <c r="D41" s="83">
        <v>36686.3</v>
      </c>
    </row>
    <row r="42" spans="1:4" s="43" customFormat="1" ht="15.75">
      <c r="A42" s="44"/>
      <c r="B42" s="41" t="s">
        <v>81</v>
      </c>
      <c r="C42" s="39" t="s">
        <v>82</v>
      </c>
      <c r="D42" s="83">
        <v>828.5</v>
      </c>
    </row>
    <row r="43" spans="1:4" s="43" customFormat="1" ht="15.75">
      <c r="A43" s="44"/>
      <c r="B43" s="41" t="s">
        <v>83</v>
      </c>
      <c r="C43" s="39" t="s">
        <v>84</v>
      </c>
      <c r="D43" s="83">
        <v>7278.5</v>
      </c>
    </row>
    <row r="44" spans="1:4" s="43" customFormat="1" ht="15.75">
      <c r="A44" s="44"/>
      <c r="B44" s="41"/>
      <c r="C44" s="39" t="s">
        <v>85</v>
      </c>
      <c r="D44" s="83">
        <v>24419.2</v>
      </c>
    </row>
    <row r="45" spans="1:4" s="43" customFormat="1" ht="15.75">
      <c r="A45" s="27" t="s">
        <v>133</v>
      </c>
      <c r="B45" s="27"/>
      <c r="C45" s="28" t="s">
        <v>87</v>
      </c>
      <c r="D45" s="82">
        <v>38594.4</v>
      </c>
    </row>
    <row r="46" spans="1:4" s="43" customFormat="1" ht="31.5">
      <c r="A46" s="27" t="s">
        <v>133</v>
      </c>
      <c r="B46" s="27"/>
      <c r="C46" s="28" t="s">
        <v>88</v>
      </c>
      <c r="D46" s="82">
        <v>7495.5</v>
      </c>
    </row>
    <row r="47" spans="1:4" s="29" customFormat="1" ht="31.5">
      <c r="A47" s="27" t="s">
        <v>135</v>
      </c>
      <c r="B47" s="27"/>
      <c r="C47" s="28" t="s">
        <v>114</v>
      </c>
      <c r="D47" s="84">
        <f>D48+D49+D50+D51+D52+D53+D54</f>
        <v>54461.4</v>
      </c>
    </row>
    <row r="48" spans="1:4" s="40" customFormat="1" ht="15.75">
      <c r="A48" s="58"/>
      <c r="B48" s="41" t="s">
        <v>75</v>
      </c>
      <c r="C48" s="39" t="s">
        <v>90</v>
      </c>
      <c r="D48" s="83">
        <v>44822.4</v>
      </c>
    </row>
    <row r="49" spans="1:4" s="40" customFormat="1" ht="15.75">
      <c r="A49" s="38"/>
      <c r="B49" s="41" t="s">
        <v>31</v>
      </c>
      <c r="C49" s="39" t="s">
        <v>76</v>
      </c>
      <c r="D49" s="83">
        <v>258</v>
      </c>
    </row>
    <row r="50" spans="1:4" s="40" customFormat="1" ht="15.75">
      <c r="A50" s="38"/>
      <c r="B50" s="41" t="s">
        <v>77</v>
      </c>
      <c r="C50" s="39" t="s">
        <v>78</v>
      </c>
      <c r="D50" s="83">
        <v>1646.4</v>
      </c>
    </row>
    <row r="51" spans="1:4" s="40" customFormat="1" ht="15.75">
      <c r="A51" s="38"/>
      <c r="B51" s="41" t="s">
        <v>79</v>
      </c>
      <c r="C51" s="39" t="s">
        <v>80</v>
      </c>
      <c r="D51" s="83">
        <v>2500</v>
      </c>
    </row>
    <row r="52" spans="1:4" s="40" customFormat="1" ht="15.75">
      <c r="A52" s="38"/>
      <c r="B52" s="41" t="s">
        <v>81</v>
      </c>
      <c r="C52" s="39" t="s">
        <v>82</v>
      </c>
      <c r="D52" s="83">
        <v>2500</v>
      </c>
    </row>
    <row r="53" spans="1:4" s="40" customFormat="1" ht="15.75">
      <c r="A53" s="38"/>
      <c r="B53" s="41" t="s">
        <v>83</v>
      </c>
      <c r="C53" s="39" t="s">
        <v>84</v>
      </c>
      <c r="D53" s="83">
        <v>351.7</v>
      </c>
    </row>
    <row r="54" spans="1:4" s="40" customFormat="1" ht="15.75">
      <c r="A54" s="38"/>
      <c r="B54" s="41"/>
      <c r="C54" s="39" t="s">
        <v>85</v>
      </c>
      <c r="D54" s="83">
        <v>2382.9</v>
      </c>
    </row>
    <row r="55" spans="1:4" s="43" customFormat="1" ht="47.25">
      <c r="A55" s="27" t="s">
        <v>136</v>
      </c>
      <c r="B55" s="27"/>
      <c r="C55" s="28" t="s">
        <v>106</v>
      </c>
      <c r="D55" s="82">
        <f>D56+D63</f>
        <v>137079.9</v>
      </c>
    </row>
    <row r="56" spans="1:4" s="43" customFormat="1" ht="47.25">
      <c r="A56" s="27" t="s">
        <v>137</v>
      </c>
      <c r="B56" s="27"/>
      <c r="C56" s="28" t="s">
        <v>111</v>
      </c>
      <c r="D56" s="82">
        <f>D57+D58+D59+D60+D61+D62</f>
        <v>119702.2</v>
      </c>
    </row>
    <row r="57" spans="1:6" s="43" customFormat="1" ht="15.75">
      <c r="A57" s="59"/>
      <c r="B57" s="41" t="s">
        <v>75</v>
      </c>
      <c r="C57" s="39" t="s">
        <v>90</v>
      </c>
      <c r="D57" s="83">
        <v>90144.3</v>
      </c>
      <c r="F57" s="53"/>
    </row>
    <row r="58" spans="1:4" s="43" customFormat="1" ht="15.75">
      <c r="A58" s="27"/>
      <c r="B58" s="41" t="s">
        <v>31</v>
      </c>
      <c r="C58" s="39" t="s">
        <v>76</v>
      </c>
      <c r="D58" s="83">
        <v>2829.6</v>
      </c>
    </row>
    <row r="59" spans="1:4" s="43" customFormat="1" ht="15.75">
      <c r="A59" s="27"/>
      <c r="B59" s="41" t="s">
        <v>77</v>
      </c>
      <c r="C59" s="39" t="s">
        <v>78</v>
      </c>
      <c r="D59" s="83">
        <v>4027.5</v>
      </c>
    </row>
    <row r="60" spans="1:4" s="43" customFormat="1" ht="31.5">
      <c r="A60" s="27"/>
      <c r="B60" s="41" t="s">
        <v>107</v>
      </c>
      <c r="C60" s="42" t="s">
        <v>108</v>
      </c>
      <c r="D60" s="83">
        <v>868.1</v>
      </c>
    </row>
    <row r="61" spans="1:4" s="43" customFormat="1" ht="15.75">
      <c r="A61" s="27"/>
      <c r="B61" s="41" t="s">
        <v>83</v>
      </c>
      <c r="C61" s="39" t="s">
        <v>84</v>
      </c>
      <c r="D61" s="83">
        <v>1089.2</v>
      </c>
    </row>
    <row r="62" spans="1:4" s="43" customFormat="1" ht="15.75">
      <c r="A62" s="27"/>
      <c r="B62" s="41"/>
      <c r="C62" s="39" t="s">
        <v>85</v>
      </c>
      <c r="D62" s="83">
        <v>20743.5</v>
      </c>
    </row>
    <row r="63" spans="1:4" s="43" customFormat="1" ht="63">
      <c r="A63" s="52" t="s">
        <v>138</v>
      </c>
      <c r="B63" s="27"/>
      <c r="C63" s="28" t="s">
        <v>109</v>
      </c>
      <c r="D63" s="82">
        <v>17377.7</v>
      </c>
    </row>
    <row r="64" spans="1:4" s="43" customFormat="1" ht="15.75">
      <c r="A64" s="44" t="s">
        <v>174</v>
      </c>
      <c r="B64" s="44"/>
      <c r="C64" s="45" t="s">
        <v>9</v>
      </c>
      <c r="D64" s="82">
        <f>D65+D95+D102+D109</f>
        <v>2937427</v>
      </c>
    </row>
    <row r="65" spans="1:9" s="43" customFormat="1" ht="15.75">
      <c r="A65" s="44"/>
      <c r="B65" s="44"/>
      <c r="C65" s="45" t="s">
        <v>10</v>
      </c>
      <c r="D65" s="82">
        <f>D66+D67+D68+D69+D70+D71+D72+D74+D77+D78+D79+D80+D81+D82+D85+D86+D87+D88+D91+D92+D93</f>
        <v>2886053.9</v>
      </c>
      <c r="E65" s="49"/>
      <c r="F65" s="49"/>
      <c r="G65" s="49"/>
      <c r="H65" s="49"/>
      <c r="I65" s="49"/>
    </row>
    <row r="66" spans="1:9" s="29" customFormat="1" ht="47.25">
      <c r="A66" s="27" t="s">
        <v>139</v>
      </c>
      <c r="B66" s="27"/>
      <c r="C66" s="28" t="s">
        <v>110</v>
      </c>
      <c r="D66" s="84">
        <v>214793.8</v>
      </c>
      <c r="E66" s="46"/>
      <c r="F66" s="46"/>
      <c r="G66" s="90">
        <f>D66+D67+D69+D78+D79+D80+D81+D91+D110</f>
        <v>1465380.2</v>
      </c>
      <c r="H66" s="46"/>
      <c r="I66" s="46"/>
    </row>
    <row r="67" spans="1:9" s="29" customFormat="1" ht="98.25" customHeight="1">
      <c r="A67" s="27" t="s">
        <v>140</v>
      </c>
      <c r="B67" s="38"/>
      <c r="C67" s="28" t="s">
        <v>33</v>
      </c>
      <c r="D67" s="84">
        <v>2790.8</v>
      </c>
      <c r="E67" s="50"/>
      <c r="F67" s="50"/>
      <c r="G67" s="90">
        <f>D67+D78+D103</f>
        <v>848536.1</v>
      </c>
      <c r="H67" s="46"/>
      <c r="I67" s="46"/>
    </row>
    <row r="68" spans="1:4" s="29" customFormat="1" ht="110.25">
      <c r="A68" s="27" t="s">
        <v>141</v>
      </c>
      <c r="B68" s="27"/>
      <c r="C68" s="28" t="s">
        <v>16</v>
      </c>
      <c r="D68" s="84">
        <v>6358.4</v>
      </c>
    </row>
    <row r="69" spans="1:6" s="29" customFormat="1" ht="78.75">
      <c r="A69" s="27" t="s">
        <v>142</v>
      </c>
      <c r="B69" s="27"/>
      <c r="C69" s="28" t="s">
        <v>22</v>
      </c>
      <c r="D69" s="84">
        <v>12257.6</v>
      </c>
      <c r="F69" s="51"/>
    </row>
    <row r="70" spans="1:4" s="29" customFormat="1" ht="31.5">
      <c r="A70" s="27" t="s">
        <v>143</v>
      </c>
      <c r="B70" s="27"/>
      <c r="C70" s="28" t="s">
        <v>15</v>
      </c>
      <c r="D70" s="84">
        <v>178162.9</v>
      </c>
    </row>
    <row r="71" spans="1:4" s="29" customFormat="1" ht="47.25">
      <c r="A71" s="27" t="s">
        <v>144</v>
      </c>
      <c r="B71" s="60"/>
      <c r="C71" s="52" t="s">
        <v>100</v>
      </c>
      <c r="D71" s="84">
        <v>750</v>
      </c>
    </row>
    <row r="72" spans="1:4" s="29" customFormat="1" ht="31.5">
      <c r="A72" s="27" t="s">
        <v>145</v>
      </c>
      <c r="B72" s="27"/>
      <c r="C72" s="28" t="s">
        <v>101</v>
      </c>
      <c r="D72" s="84">
        <v>38650</v>
      </c>
    </row>
    <row r="73" spans="1:4" s="40" customFormat="1" ht="47.25">
      <c r="A73" s="38" t="s">
        <v>146</v>
      </c>
      <c r="B73" s="38" t="s">
        <v>29</v>
      </c>
      <c r="C73" s="42" t="s">
        <v>23</v>
      </c>
      <c r="D73" s="82">
        <f>D74+D77</f>
        <v>335746.8</v>
      </c>
    </row>
    <row r="74" spans="1:4" s="40" customFormat="1" ht="31.5">
      <c r="A74" s="27" t="s">
        <v>147</v>
      </c>
      <c r="B74" s="38"/>
      <c r="C74" s="28" t="s">
        <v>18</v>
      </c>
      <c r="D74" s="84">
        <f>D75+D76</f>
        <v>315600.4</v>
      </c>
    </row>
    <row r="75" spans="1:4" ht="31.5">
      <c r="A75" s="23"/>
      <c r="B75" s="19" t="s">
        <v>45</v>
      </c>
      <c r="C75" s="22" t="s">
        <v>116</v>
      </c>
      <c r="D75" s="85">
        <f>1900+182304.4</f>
        <v>184204.4</v>
      </c>
    </row>
    <row r="76" spans="1:6" s="26" customFormat="1" ht="31.5">
      <c r="A76" s="21"/>
      <c r="B76" s="19" t="s">
        <v>50</v>
      </c>
      <c r="C76" s="22" t="s">
        <v>34</v>
      </c>
      <c r="D76" s="85">
        <f>1900+129496</f>
        <v>131396</v>
      </c>
      <c r="E76" s="25"/>
      <c r="F76" s="25"/>
    </row>
    <row r="77" spans="1:4" ht="47.25">
      <c r="A77" s="23" t="s">
        <v>148</v>
      </c>
      <c r="B77" s="19"/>
      <c r="C77" s="3" t="s">
        <v>24</v>
      </c>
      <c r="D77" s="84">
        <v>20146.4</v>
      </c>
    </row>
    <row r="78" spans="1:4" s="24" customFormat="1" ht="47.25">
      <c r="A78" s="23" t="s">
        <v>149</v>
      </c>
      <c r="B78" s="23" t="s">
        <v>2</v>
      </c>
      <c r="C78" s="3" t="s">
        <v>67</v>
      </c>
      <c r="D78" s="84">
        <v>825224.3</v>
      </c>
    </row>
    <row r="79" spans="1:4" s="24" customFormat="1" ht="96.75" customHeight="1">
      <c r="A79" s="23" t="s">
        <v>150</v>
      </c>
      <c r="B79" s="23"/>
      <c r="C79" s="3" t="s">
        <v>25</v>
      </c>
      <c r="D79" s="84">
        <v>30.4</v>
      </c>
    </row>
    <row r="80" spans="1:4" s="24" customFormat="1" ht="96" customHeight="1">
      <c r="A80" s="23" t="s">
        <v>151</v>
      </c>
      <c r="B80" s="23" t="s">
        <v>42</v>
      </c>
      <c r="C80" s="3" t="s">
        <v>26</v>
      </c>
      <c r="D80" s="84">
        <v>15.2</v>
      </c>
    </row>
    <row r="81" spans="1:4" s="29" customFormat="1" ht="176.25" customHeight="1">
      <c r="A81" s="27" t="s">
        <v>152</v>
      </c>
      <c r="B81" s="27" t="s">
        <v>45</v>
      </c>
      <c r="C81" s="28" t="s">
        <v>39</v>
      </c>
      <c r="D81" s="84">
        <v>391068.6</v>
      </c>
    </row>
    <row r="82" spans="1:4" ht="78.75">
      <c r="A82" s="16" t="s">
        <v>153</v>
      </c>
      <c r="B82" s="19"/>
      <c r="C82" s="17" t="s">
        <v>35</v>
      </c>
      <c r="D82" s="82">
        <f>D83+D84</f>
        <v>386690.6</v>
      </c>
    </row>
    <row r="83" spans="1:4" s="18" customFormat="1" ht="31.5">
      <c r="A83" s="19"/>
      <c r="B83" s="19" t="s">
        <v>45</v>
      </c>
      <c r="C83" s="20" t="s">
        <v>115</v>
      </c>
      <c r="D83" s="83">
        <f>3000+257801</f>
        <v>260801</v>
      </c>
    </row>
    <row r="84" spans="1:6" s="18" customFormat="1" ht="35.25" customHeight="1">
      <c r="A84" s="19"/>
      <c r="B84" s="19" t="s">
        <v>50</v>
      </c>
      <c r="C84" s="20" t="s">
        <v>36</v>
      </c>
      <c r="D84" s="83">
        <f>3000+122889.6</f>
        <v>125889.6</v>
      </c>
      <c r="E84" s="30"/>
      <c r="F84" s="30"/>
    </row>
    <row r="85" spans="1:4" s="24" customFormat="1" ht="63">
      <c r="A85" s="23" t="s">
        <v>154</v>
      </c>
      <c r="B85" s="23" t="s">
        <v>42</v>
      </c>
      <c r="C85" s="3" t="s">
        <v>27</v>
      </c>
      <c r="D85" s="84">
        <v>149662.7</v>
      </c>
    </row>
    <row r="86" spans="1:4" s="24" customFormat="1" ht="48.75" customHeight="1">
      <c r="A86" s="23" t="s">
        <v>155</v>
      </c>
      <c r="B86" s="23" t="s">
        <v>45</v>
      </c>
      <c r="C86" s="3" t="s">
        <v>37</v>
      </c>
      <c r="D86" s="84">
        <v>172191.6</v>
      </c>
    </row>
    <row r="87" spans="1:4" s="18" customFormat="1" ht="37.5" customHeight="1">
      <c r="A87" s="16" t="s">
        <v>156</v>
      </c>
      <c r="B87" s="16" t="s">
        <v>45</v>
      </c>
      <c r="C87" s="17" t="s">
        <v>66</v>
      </c>
      <c r="D87" s="86">
        <v>2295.4</v>
      </c>
    </row>
    <row r="88" spans="1:4" s="18" customFormat="1" ht="31.5">
      <c r="A88" s="23" t="s">
        <v>157</v>
      </c>
      <c r="B88" s="16"/>
      <c r="C88" s="3" t="s">
        <v>49</v>
      </c>
      <c r="D88" s="82">
        <f>D89+D90</f>
        <v>134860.3</v>
      </c>
    </row>
    <row r="89" spans="1:4" s="24" customFormat="1" ht="47.25">
      <c r="A89" s="19"/>
      <c r="B89" s="19" t="s">
        <v>50</v>
      </c>
      <c r="C89" s="20" t="s">
        <v>38</v>
      </c>
      <c r="D89" s="85">
        <f>925+14272.5</f>
        <v>15197.5</v>
      </c>
    </row>
    <row r="90" spans="1:5" ht="47.25">
      <c r="A90" s="23"/>
      <c r="B90" s="19" t="s">
        <v>45</v>
      </c>
      <c r="C90" s="20" t="s">
        <v>48</v>
      </c>
      <c r="D90" s="83">
        <f>925+118737.8</f>
        <v>119662.8</v>
      </c>
      <c r="E90" s="92">
        <f>D90-20000</f>
        <v>99662.8</v>
      </c>
    </row>
    <row r="91" spans="1:4" s="18" customFormat="1" ht="55.5" customHeight="1">
      <c r="A91" s="23" t="s">
        <v>158</v>
      </c>
      <c r="B91" s="16"/>
      <c r="C91" s="3" t="s">
        <v>102</v>
      </c>
      <c r="D91" s="82">
        <v>19134.5</v>
      </c>
    </row>
    <row r="92" spans="1:4" ht="47.25">
      <c r="A92" s="19" t="s">
        <v>159</v>
      </c>
      <c r="B92" s="19" t="s">
        <v>41</v>
      </c>
      <c r="C92" s="61" t="s">
        <v>91</v>
      </c>
      <c r="D92" s="82">
        <v>370</v>
      </c>
    </row>
    <row r="93" spans="1:4" ht="63">
      <c r="A93" s="19" t="s">
        <v>160</v>
      </c>
      <c r="B93" s="19"/>
      <c r="C93" s="17" t="s">
        <v>117</v>
      </c>
      <c r="D93" s="82">
        <f>D94</f>
        <v>15000</v>
      </c>
    </row>
    <row r="94" spans="1:4" ht="15.75">
      <c r="A94" s="19" t="s">
        <v>160</v>
      </c>
      <c r="B94" s="19" t="s">
        <v>41</v>
      </c>
      <c r="C94" s="20" t="s">
        <v>43</v>
      </c>
      <c r="D94" s="83">
        <v>15000</v>
      </c>
    </row>
    <row r="95" spans="1:4" ht="47.25">
      <c r="A95" s="19"/>
      <c r="B95" s="19"/>
      <c r="C95" s="17" t="s">
        <v>103</v>
      </c>
      <c r="D95" s="82">
        <f>D96+D97+D98</f>
        <v>19292.1</v>
      </c>
    </row>
    <row r="96" spans="1:4" ht="31.5">
      <c r="A96" s="19" t="s">
        <v>161</v>
      </c>
      <c r="B96" s="19" t="s">
        <v>42</v>
      </c>
      <c r="C96" s="20" t="s">
        <v>40</v>
      </c>
      <c r="D96" s="83">
        <v>8000</v>
      </c>
    </row>
    <row r="97" spans="1:4" ht="15.75">
      <c r="A97" s="19" t="s">
        <v>162</v>
      </c>
      <c r="B97" s="19" t="s">
        <v>41</v>
      </c>
      <c r="C97" s="20" t="s">
        <v>43</v>
      </c>
      <c r="D97" s="83">
        <v>50.1</v>
      </c>
    </row>
    <row r="98" spans="1:4" ht="47.25">
      <c r="A98" s="23" t="s">
        <v>163</v>
      </c>
      <c r="B98" s="16"/>
      <c r="C98" s="17" t="s">
        <v>59</v>
      </c>
      <c r="D98" s="84">
        <f>D99+D100+D101</f>
        <v>11242</v>
      </c>
    </row>
    <row r="99" spans="1:4" ht="78.75">
      <c r="A99" s="19" t="s">
        <v>164</v>
      </c>
      <c r="B99" s="19" t="s">
        <v>42</v>
      </c>
      <c r="C99" s="20" t="s">
        <v>104</v>
      </c>
      <c r="D99" s="83">
        <v>8000</v>
      </c>
    </row>
    <row r="100" spans="1:4" ht="15.75">
      <c r="A100" s="19" t="s">
        <v>165</v>
      </c>
      <c r="B100" s="19" t="s">
        <v>31</v>
      </c>
      <c r="C100" s="20" t="s">
        <v>76</v>
      </c>
      <c r="D100" s="83">
        <v>142</v>
      </c>
    </row>
    <row r="101" spans="1:4" ht="63">
      <c r="A101" s="19" t="s">
        <v>166</v>
      </c>
      <c r="B101" s="19" t="s">
        <v>42</v>
      </c>
      <c r="C101" s="37" t="s">
        <v>99</v>
      </c>
      <c r="D101" s="83">
        <v>3100</v>
      </c>
    </row>
    <row r="102" spans="1:4" ht="63">
      <c r="A102" s="16"/>
      <c r="B102" s="16"/>
      <c r="C102" s="17" t="s">
        <v>105</v>
      </c>
      <c r="D102" s="82">
        <f>D103+D104+D105+D106</f>
        <v>32016</v>
      </c>
    </row>
    <row r="103" spans="1:4" ht="78.75">
      <c r="A103" s="19" t="s">
        <v>167</v>
      </c>
      <c r="B103" s="19" t="s">
        <v>42</v>
      </c>
      <c r="C103" s="20" t="s">
        <v>32</v>
      </c>
      <c r="D103" s="83">
        <v>20521</v>
      </c>
    </row>
    <row r="104" spans="1:4" ht="94.5">
      <c r="A104" s="19" t="s">
        <v>167</v>
      </c>
      <c r="B104" s="19" t="s">
        <v>42</v>
      </c>
      <c r="C104" s="20" t="s">
        <v>60</v>
      </c>
      <c r="D104" s="83"/>
    </row>
    <row r="105" spans="1:4" ht="15.75">
      <c r="A105" s="19" t="s">
        <v>168</v>
      </c>
      <c r="B105" s="19" t="s">
        <v>47</v>
      </c>
      <c r="C105" s="20" t="s">
        <v>69</v>
      </c>
      <c r="D105" s="83"/>
    </row>
    <row r="106" spans="1:4" ht="47.25">
      <c r="A106" s="19"/>
      <c r="B106" s="19"/>
      <c r="C106" s="3" t="s">
        <v>113</v>
      </c>
      <c r="D106" s="84">
        <f>D107+D108</f>
        <v>11495</v>
      </c>
    </row>
    <row r="107" spans="1:4" ht="83.25" customHeight="1">
      <c r="A107" s="19" t="s">
        <v>169</v>
      </c>
      <c r="B107" s="19" t="s">
        <v>42</v>
      </c>
      <c r="C107" s="20" t="s">
        <v>65</v>
      </c>
      <c r="D107" s="83">
        <v>11195</v>
      </c>
    </row>
    <row r="108" spans="1:4" s="24" customFormat="1" ht="15.75">
      <c r="A108" s="19" t="s">
        <v>170</v>
      </c>
      <c r="B108" s="19" t="s">
        <v>41</v>
      </c>
      <c r="C108" s="20" t="s">
        <v>43</v>
      </c>
      <c r="D108" s="83">
        <v>300</v>
      </c>
    </row>
    <row r="109" spans="1:4" s="18" customFormat="1" ht="15.75">
      <c r="A109" s="16" t="s">
        <v>53</v>
      </c>
      <c r="B109" s="47"/>
      <c r="C109" s="15" t="s">
        <v>11</v>
      </c>
      <c r="D109" s="82">
        <f>SUM(D110)</f>
        <v>65</v>
      </c>
    </row>
    <row r="110" spans="1:4" ht="94.5">
      <c r="A110" s="19" t="s">
        <v>171</v>
      </c>
      <c r="B110" s="19" t="s">
        <v>54</v>
      </c>
      <c r="C110" s="12" t="s">
        <v>28</v>
      </c>
      <c r="D110" s="83">
        <v>65</v>
      </c>
    </row>
    <row r="111" spans="1:4" ht="31.5">
      <c r="A111" s="23" t="s">
        <v>12</v>
      </c>
      <c r="B111" s="23"/>
      <c r="C111" s="31" t="s">
        <v>13</v>
      </c>
      <c r="D111" s="82">
        <f>D112+D113</f>
        <v>88277.9</v>
      </c>
    </row>
    <row r="112" spans="1:4" ht="110.25">
      <c r="A112" s="16" t="s">
        <v>172</v>
      </c>
      <c r="B112" s="16"/>
      <c r="C112" s="17" t="s">
        <v>14</v>
      </c>
      <c r="D112" s="82">
        <v>84358.3</v>
      </c>
    </row>
    <row r="113" spans="1:4" ht="31.5">
      <c r="A113" s="15"/>
      <c r="B113" s="11"/>
      <c r="C113" s="17" t="s">
        <v>70</v>
      </c>
      <c r="D113" s="81">
        <f>D114+D115</f>
        <v>3919.6</v>
      </c>
    </row>
    <row r="114" spans="1:4" ht="31.5">
      <c r="A114" s="11" t="s">
        <v>173</v>
      </c>
      <c r="B114" s="11" t="s">
        <v>46</v>
      </c>
      <c r="C114" s="4" t="s">
        <v>61</v>
      </c>
      <c r="D114" s="87">
        <v>2010.5</v>
      </c>
    </row>
    <row r="115" spans="1:4" ht="31.5">
      <c r="A115" s="11" t="s">
        <v>173</v>
      </c>
      <c r="B115" s="12">
        <v>310100</v>
      </c>
      <c r="C115" s="12" t="s">
        <v>55</v>
      </c>
      <c r="D115" s="88">
        <v>1909.1</v>
      </c>
    </row>
    <row r="116" spans="1:4" ht="15.75">
      <c r="A116" s="78"/>
      <c r="B116" s="79"/>
      <c r="C116" s="79"/>
      <c r="D116" s="80"/>
    </row>
    <row r="117" spans="1:4" ht="15.75">
      <c r="A117" s="78"/>
      <c r="B117" s="79"/>
      <c r="C117" s="79"/>
      <c r="D117" s="80"/>
    </row>
    <row r="118" spans="1:4" ht="15.75">
      <c r="A118" s="78"/>
      <c r="B118" s="79"/>
      <c r="C118" s="79"/>
      <c r="D118" s="80"/>
    </row>
    <row r="119" spans="1:4" ht="15.75">
      <c r="A119" s="78"/>
      <c r="B119" s="79"/>
      <c r="C119" s="79"/>
      <c r="D119" s="80"/>
    </row>
    <row r="120" spans="1:4" ht="15.75">
      <c r="A120" s="78"/>
      <c r="B120" s="79"/>
      <c r="C120" s="79"/>
      <c r="D120" s="80"/>
    </row>
    <row r="121" ht="15.75">
      <c r="D121" s="56"/>
    </row>
  </sheetData>
  <sheetProtection/>
  <mergeCells count="1">
    <mergeCell ref="A3:D3"/>
  </mergeCells>
  <printOptions horizontalCentered="1"/>
  <pageMargins left="0.1968503937007874" right="0.1968503937007874" top="0.1968503937007874" bottom="0.1968503937007874" header="0.11811023622047245" footer="0.11811023622047245"/>
  <pageSetup fitToHeight="6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Агентство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Diakov</cp:lastModifiedBy>
  <cp:lastPrinted>2017-01-13T10:37:49Z</cp:lastPrinted>
  <dcterms:created xsi:type="dcterms:W3CDTF">2006-12-22T11:27:27Z</dcterms:created>
  <dcterms:modified xsi:type="dcterms:W3CDTF">2017-04-03T14:44:41Z</dcterms:modified>
  <cp:category/>
  <cp:version/>
  <cp:contentType/>
  <cp:contentStatus/>
</cp:coreProperties>
</file>